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yrne\Downloads\"/>
    </mc:Choice>
  </mc:AlternateContent>
  <workbookProtection workbookAlgorithmName="SHA-512" workbookHashValue="2Nt1cC0d0Y0KESs36Q3wOOZNECfx9iw8AJ1HA6m4w0sW2CEvVa9mOrxi2bkNM7ZSBI3whbxPa0lxj0Bm74CItw==" workbookSaltValue="85S/pg9kLUJiohYGyJONlQ==" workbookSpinCount="100000" lockStructure="1"/>
  <bookViews>
    <workbookView xWindow="0" yWindow="0" windowWidth="24000" windowHeight="9300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62913"/>
</workbook>
</file>

<file path=xl/calcChain.xml><?xml version="1.0" encoding="utf-8"?>
<calcChain xmlns="http://schemas.openxmlformats.org/spreadsheetml/2006/main">
  <c r="D7" i="1" l="1"/>
  <c r="D5" i="1" l="1"/>
  <c r="B5" i="4" l="1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AB193" i="1" s="1"/>
  <c r="AG192" i="1"/>
  <c r="AC193" i="1"/>
  <c r="Z191" i="1"/>
  <c r="X191" i="1"/>
  <c r="W191" i="1" s="1"/>
  <c r="V191" i="1" s="1"/>
  <c r="AH191" i="1" s="1"/>
  <c r="U191" i="1"/>
  <c r="T191" i="1"/>
  <c r="AG190" i="1"/>
  <c r="AC191" i="1" s="1"/>
  <c r="Z189" i="1"/>
  <c r="X189" i="1"/>
  <c r="V189" i="1" s="1"/>
  <c r="AH189" i="1" s="1"/>
  <c r="W189" i="1"/>
  <c r="U189" i="1"/>
  <c r="T189" i="1"/>
  <c r="AM189" i="1" s="1"/>
  <c r="AG188" i="1"/>
  <c r="AC189" i="1" s="1"/>
  <c r="AD187" i="1"/>
  <c r="Z187" i="1"/>
  <c r="X187" i="1"/>
  <c r="W187" i="1" s="1"/>
  <c r="V187" i="1"/>
  <c r="AH187" i="1" s="1"/>
  <c r="U187" i="1"/>
  <c r="T187" i="1"/>
  <c r="AM187" i="1"/>
  <c r="AG186" i="1"/>
  <c r="AC187" i="1"/>
  <c r="Z185" i="1"/>
  <c r="X185" i="1"/>
  <c r="U185" i="1"/>
  <c r="T185" i="1"/>
  <c r="AM185" i="1"/>
  <c r="AG184" i="1"/>
  <c r="AC185" i="1"/>
  <c r="Z176" i="1"/>
  <c r="X176" i="1"/>
  <c r="U176" i="1"/>
  <c r="AB176" i="1" s="1"/>
  <c r="T176" i="1"/>
  <c r="AG175" i="1"/>
  <c r="AC176" i="1"/>
  <c r="Z174" i="1"/>
  <c r="X174" i="1"/>
  <c r="W174" i="1" s="1"/>
  <c r="V174" i="1"/>
  <c r="AH174" i="1" s="1"/>
  <c r="U174" i="1"/>
  <c r="T174" i="1"/>
  <c r="AM174" i="1"/>
  <c r="AG173" i="1"/>
  <c r="AC174" i="1"/>
  <c r="Z172" i="1"/>
  <c r="X172" i="1"/>
  <c r="U172" i="1"/>
  <c r="T172" i="1"/>
  <c r="AM172" i="1"/>
  <c r="AG171" i="1"/>
  <c r="AC172" i="1"/>
  <c r="AD170" i="1"/>
  <c r="Z170" i="1"/>
  <c r="X170" i="1"/>
  <c r="W170" i="1"/>
  <c r="U170" i="1"/>
  <c r="T170" i="1"/>
  <c r="AG169" i="1"/>
  <c r="AC170" i="1"/>
  <c r="Z168" i="1"/>
  <c r="X168" i="1"/>
  <c r="U168" i="1"/>
  <c r="T168" i="1"/>
  <c r="AG167" i="1"/>
  <c r="AC168" i="1" s="1"/>
  <c r="Z159" i="1"/>
  <c r="X159" i="1"/>
  <c r="V159" i="1" s="1"/>
  <c r="AH159" i="1" s="1"/>
  <c r="W159" i="1"/>
  <c r="U159" i="1"/>
  <c r="T159" i="1"/>
  <c r="AG158" i="1"/>
  <c r="AC159" i="1"/>
  <c r="Z157" i="1"/>
  <c r="X157" i="1"/>
  <c r="U157" i="1"/>
  <c r="U160" i="1" s="1"/>
  <c r="T157" i="1"/>
  <c r="AM157" i="1"/>
  <c r="AG156" i="1"/>
  <c r="AC157" i="1"/>
  <c r="Z155" i="1"/>
  <c r="X155" i="1"/>
  <c r="W155" i="1" s="1"/>
  <c r="V155" i="1" s="1"/>
  <c r="AH155" i="1" s="1"/>
  <c r="U155" i="1"/>
  <c r="T155" i="1"/>
  <c r="AM155" i="1"/>
  <c r="AG154" i="1"/>
  <c r="AC155" i="1"/>
  <c r="AD153" i="1"/>
  <c r="Z153" i="1"/>
  <c r="X153" i="1"/>
  <c r="W153" i="1"/>
  <c r="V153" i="1" s="1"/>
  <c r="AH153" i="1" s="1"/>
  <c r="U153" i="1"/>
  <c r="T153" i="1"/>
  <c r="AM153" i="1" s="1"/>
  <c r="AG152" i="1"/>
  <c r="AC153" i="1" s="1"/>
  <c r="Z151" i="1"/>
  <c r="X151" i="1"/>
  <c r="V151" i="1" s="1"/>
  <c r="AH151" i="1" s="1"/>
  <c r="W151" i="1"/>
  <c r="U151" i="1"/>
  <c r="T151" i="1"/>
  <c r="AG150" i="1"/>
  <c r="AC151" i="1" s="1"/>
  <c r="Z142" i="1"/>
  <c r="X142" i="1"/>
  <c r="W142" i="1"/>
  <c r="V142" i="1" s="1"/>
  <c r="AH142" i="1" s="1"/>
  <c r="U142" i="1"/>
  <c r="T142" i="1"/>
  <c r="AB142" i="1" s="1"/>
  <c r="AG141" i="1"/>
  <c r="AC142" i="1" s="1"/>
  <c r="Z140" i="1"/>
  <c r="X140" i="1"/>
  <c r="V140" i="1" s="1"/>
  <c r="AH140" i="1" s="1"/>
  <c r="W140" i="1"/>
  <c r="U140" i="1"/>
  <c r="T140" i="1"/>
  <c r="AM140" i="1" s="1"/>
  <c r="AG139" i="1"/>
  <c r="AC140" i="1" s="1"/>
  <c r="Z138" i="1"/>
  <c r="X138" i="1"/>
  <c r="W138" i="1"/>
  <c r="V138" i="1" s="1"/>
  <c r="AH138" i="1"/>
  <c r="U138" i="1"/>
  <c r="T138" i="1"/>
  <c r="AM138" i="1" s="1"/>
  <c r="AG137" i="1"/>
  <c r="AC138" i="1" s="1"/>
  <c r="AD136" i="1"/>
  <c r="Z136" i="1"/>
  <c r="X136" i="1"/>
  <c r="U136" i="1"/>
  <c r="T136" i="1"/>
  <c r="AM136" i="1"/>
  <c r="AG135" i="1"/>
  <c r="AC136" i="1"/>
  <c r="Z134" i="1"/>
  <c r="X134" i="1"/>
  <c r="W134" i="1" s="1"/>
  <c r="V134" i="1"/>
  <c r="AH134" i="1" s="1"/>
  <c r="U134" i="1"/>
  <c r="U143" i="1"/>
  <c r="T134" i="1"/>
  <c r="AG133" i="1"/>
  <c r="AC134" i="1" s="1"/>
  <c r="AM125" i="1"/>
  <c r="Z125" i="1"/>
  <c r="X125" i="1"/>
  <c r="W125" i="1" s="1"/>
  <c r="U125" i="1"/>
  <c r="AB125" i="1" s="1"/>
  <c r="T125" i="1"/>
  <c r="AG124" i="1"/>
  <c r="AC125" i="1"/>
  <c r="Z123" i="1"/>
  <c r="X123" i="1"/>
  <c r="W123" i="1" s="1"/>
  <c r="U123" i="1"/>
  <c r="T123" i="1"/>
  <c r="AG122" i="1"/>
  <c r="AC123" i="1" s="1"/>
  <c r="AC121" i="1"/>
  <c r="Z121" i="1"/>
  <c r="X121" i="1"/>
  <c r="U121" i="1"/>
  <c r="T121" i="1"/>
  <c r="AM121" i="1"/>
  <c r="AG120" i="1"/>
  <c r="AD119" i="1"/>
  <c r="Z119" i="1"/>
  <c r="X119" i="1"/>
  <c r="W119" i="1" s="1"/>
  <c r="V119" i="1" s="1"/>
  <c r="AH119" i="1" s="1"/>
  <c r="U119" i="1"/>
  <c r="T119" i="1"/>
  <c r="AM119" i="1"/>
  <c r="AG118" i="1"/>
  <c r="AC119" i="1"/>
  <c r="Z117" i="1"/>
  <c r="X117" i="1"/>
  <c r="U117" i="1"/>
  <c r="T117" i="1"/>
  <c r="AG116" i="1"/>
  <c r="AC117" i="1" s="1"/>
  <c r="Z108" i="1"/>
  <c r="X108" i="1"/>
  <c r="W108" i="1"/>
  <c r="V108" i="1" s="1"/>
  <c r="AH108" i="1" s="1"/>
  <c r="U108" i="1"/>
  <c r="T108" i="1"/>
  <c r="AM108" i="1" s="1"/>
  <c r="AG107" i="1"/>
  <c r="AC108" i="1" s="1"/>
  <c r="Z106" i="1"/>
  <c r="X106" i="1"/>
  <c r="V106" i="1" s="1"/>
  <c r="AH106" i="1" s="1"/>
  <c r="W106" i="1"/>
  <c r="U106" i="1"/>
  <c r="T106" i="1"/>
  <c r="AM106" i="1" s="1"/>
  <c r="AG105" i="1"/>
  <c r="AC106" i="1" s="1"/>
  <c r="Z104" i="1"/>
  <c r="X104" i="1"/>
  <c r="W104" i="1"/>
  <c r="U104" i="1"/>
  <c r="T104" i="1"/>
  <c r="AM104" i="1" s="1"/>
  <c r="AG103" i="1"/>
  <c r="AC104" i="1" s="1"/>
  <c r="AD102" i="1"/>
  <c r="Z102" i="1"/>
  <c r="X102" i="1"/>
  <c r="W102" i="1" s="1"/>
  <c r="U102" i="1"/>
  <c r="T102" i="1"/>
  <c r="AM102" i="1"/>
  <c r="AG101" i="1"/>
  <c r="AC102" i="1"/>
  <c r="Z100" i="1"/>
  <c r="X100" i="1"/>
  <c r="W100" i="1" s="1"/>
  <c r="V100" i="1" s="1"/>
  <c r="AH100" i="1" s="1"/>
  <c r="U100" i="1"/>
  <c r="T100" i="1"/>
  <c r="AM100" i="1" s="1"/>
  <c r="AG99" i="1"/>
  <c r="AC100" i="1" s="1"/>
  <c r="Z91" i="1"/>
  <c r="X91" i="1"/>
  <c r="W91" i="1"/>
  <c r="V91" i="1" s="1"/>
  <c r="AH91" i="1"/>
  <c r="U91" i="1"/>
  <c r="T91" i="1"/>
  <c r="AG90" i="1"/>
  <c r="AC91" i="1"/>
  <c r="Z89" i="1"/>
  <c r="X89" i="1"/>
  <c r="W89" i="1" s="1"/>
  <c r="V89" i="1" s="1"/>
  <c r="AH89" i="1" s="1"/>
  <c r="U89" i="1"/>
  <c r="T89" i="1"/>
  <c r="AM89" i="1"/>
  <c r="AG88" i="1"/>
  <c r="AC89" i="1"/>
  <c r="Z87" i="1"/>
  <c r="X87" i="1"/>
  <c r="U87" i="1"/>
  <c r="T87" i="1"/>
  <c r="AM87" i="1" s="1"/>
  <c r="AG86" i="1"/>
  <c r="AC87" i="1" s="1"/>
  <c r="AD85" i="1"/>
  <c r="Z85" i="1"/>
  <c r="X85" i="1"/>
  <c r="U85" i="1"/>
  <c r="T85" i="1"/>
  <c r="AM85" i="1"/>
  <c r="AG84" i="1"/>
  <c r="AC85" i="1"/>
  <c r="Z83" i="1"/>
  <c r="X83" i="1"/>
  <c r="W83" i="1" s="1"/>
  <c r="V83" i="1" s="1"/>
  <c r="AH83" i="1" s="1"/>
  <c r="U83" i="1"/>
  <c r="U92" i="1" s="1"/>
  <c r="T83" i="1"/>
  <c r="AG82" i="1"/>
  <c r="AC83" i="1"/>
  <c r="Z74" i="1"/>
  <c r="X74" i="1"/>
  <c r="U74" i="1"/>
  <c r="AB74" i="1" s="1"/>
  <c r="T74" i="1"/>
  <c r="AG73" i="1"/>
  <c r="AC74" i="1"/>
  <c r="Z72" i="1"/>
  <c r="X72" i="1"/>
  <c r="W72" i="1" s="1"/>
  <c r="V72" i="1"/>
  <c r="AH72" i="1" s="1"/>
  <c r="U72" i="1"/>
  <c r="T72" i="1"/>
  <c r="AG71" i="1"/>
  <c r="AC72" i="1" s="1"/>
  <c r="Z70" i="1"/>
  <c r="X70" i="1"/>
  <c r="W70" i="1"/>
  <c r="U70" i="1"/>
  <c r="T70" i="1"/>
  <c r="AG69" i="1"/>
  <c r="AC70" i="1" s="1"/>
  <c r="AD68" i="1"/>
  <c r="Z68" i="1"/>
  <c r="X68" i="1"/>
  <c r="W68" i="1" s="1"/>
  <c r="V68" i="1" s="1"/>
  <c r="AH68" i="1" s="1"/>
  <c r="U68" i="1"/>
  <c r="T68" i="1"/>
  <c r="AM68" i="1"/>
  <c r="AG67" i="1"/>
  <c r="AC68" i="1"/>
  <c r="Z66" i="1"/>
  <c r="X66" i="1"/>
  <c r="U66" i="1"/>
  <c r="T66" i="1"/>
  <c r="AG65" i="1"/>
  <c r="AC66" i="1"/>
  <c r="AA56" i="1"/>
  <c r="Y56" i="1"/>
  <c r="W56" i="1" s="1"/>
  <c r="AD55" i="1"/>
  <c r="AD54" i="1"/>
  <c r="AA54" i="1"/>
  <c r="Y54" i="1" s="1"/>
  <c r="W54" i="1"/>
  <c r="AA49" i="1"/>
  <c r="Y49" i="1"/>
  <c r="W49" i="1" s="1"/>
  <c r="AD48" i="1"/>
  <c r="AD47" i="1"/>
  <c r="AA47" i="1"/>
  <c r="Y47" i="1" s="1"/>
  <c r="W47" i="1"/>
  <c r="AA42" i="1"/>
  <c r="Y42" i="1"/>
  <c r="W42" i="1" s="1"/>
  <c r="AD41" i="1"/>
  <c r="AD40" i="1"/>
  <c r="AA40" i="1"/>
  <c r="Y40" i="1" s="1"/>
  <c r="W40" i="1"/>
  <c r="AA35" i="1"/>
  <c r="Y35" i="1"/>
  <c r="W35" i="1" s="1"/>
  <c r="AD34" i="1"/>
  <c r="AD33" i="1"/>
  <c r="AA33" i="1"/>
  <c r="Y33" i="1" s="1"/>
  <c r="W33" i="1"/>
  <c r="AN25" i="1"/>
  <c r="AH25" i="1"/>
  <c r="J13" i="4" s="1"/>
  <c r="AB25" i="1"/>
  <c r="AC25" i="1" s="1"/>
  <c r="I25" i="1" s="1"/>
  <c r="H13" i="4" s="1"/>
  <c r="Z25" i="1"/>
  <c r="AA25" i="1" s="1"/>
  <c r="H25" i="1" s="1"/>
  <c r="G13" i="4" s="1"/>
  <c r="X25" i="1"/>
  <c r="Y25" i="1" s="1"/>
  <c r="G25" i="1" s="1"/>
  <c r="F13" i="4" s="1"/>
  <c r="V25" i="1"/>
  <c r="W25" i="1" s="1"/>
  <c r="F25" i="1" s="1"/>
  <c r="E13" i="4" s="1"/>
  <c r="AN24" i="1"/>
  <c r="AH24" i="1" s="1"/>
  <c r="J12" i="4" s="1"/>
  <c r="AB24" i="1"/>
  <c r="AC24" i="1" s="1"/>
  <c r="I24" i="1" s="1"/>
  <c r="H12" i="4" s="1"/>
  <c r="Z24" i="1"/>
  <c r="AA24" i="1" s="1"/>
  <c r="H24" i="1" s="1"/>
  <c r="G12" i="4" s="1"/>
  <c r="X24" i="1"/>
  <c r="Y24" i="1" s="1"/>
  <c r="G24" i="1" s="1"/>
  <c r="F12" i="4" s="1"/>
  <c r="V24" i="1"/>
  <c r="W24" i="1" s="1"/>
  <c r="F24" i="1" s="1"/>
  <c r="E12" i="4" s="1"/>
  <c r="AN23" i="1"/>
  <c r="AH23" i="1" s="1"/>
  <c r="J11" i="4" s="1"/>
  <c r="AB23" i="1"/>
  <c r="AC23" i="1" s="1"/>
  <c r="Z23" i="1"/>
  <c r="AA23" i="1" s="1"/>
  <c r="X23" i="1"/>
  <c r="Y23" i="1" s="1"/>
  <c r="V23" i="1"/>
  <c r="W23" i="1" s="1"/>
  <c r="AN22" i="1"/>
  <c r="AH22" i="1" s="1"/>
  <c r="J10" i="4" s="1"/>
  <c r="AB22" i="1"/>
  <c r="AC22" i="1" s="1"/>
  <c r="Z22" i="1"/>
  <c r="AA22" i="1" s="1"/>
  <c r="X22" i="1"/>
  <c r="Y22" i="1" s="1"/>
  <c r="V22" i="1"/>
  <c r="W22" i="1" s="1"/>
  <c r="AN21" i="1"/>
  <c r="AH21" i="1" s="1"/>
  <c r="J9" i="4" s="1"/>
  <c r="AB21" i="1"/>
  <c r="AC21" i="1" s="1"/>
  <c r="Z21" i="1"/>
  <c r="AA21" i="1" s="1"/>
  <c r="X21" i="1"/>
  <c r="Y21" i="1" s="1"/>
  <c r="V21" i="1"/>
  <c r="W21" i="1" s="1"/>
  <c r="AN20" i="1"/>
  <c r="AH20" i="1" s="1"/>
  <c r="J8" i="4" s="1"/>
  <c r="AB20" i="1"/>
  <c r="AC20" i="1" s="1"/>
  <c r="Z20" i="1"/>
  <c r="AA20" i="1" s="1"/>
  <c r="X20" i="1"/>
  <c r="Y20" i="1" s="1"/>
  <c r="V20" i="1"/>
  <c r="W20" i="1" s="1"/>
  <c r="AN19" i="1"/>
  <c r="AH19" i="1" s="1"/>
  <c r="J7" i="4" s="1"/>
  <c r="AB19" i="1"/>
  <c r="AC19" i="1" s="1"/>
  <c r="Z19" i="1"/>
  <c r="AA19" i="1" s="1"/>
  <c r="X19" i="1"/>
  <c r="Y19" i="1" s="1"/>
  <c r="V19" i="1"/>
  <c r="AG19" i="1" s="1"/>
  <c r="I7" i="4" s="1"/>
  <c r="AN18" i="1"/>
  <c r="AH18" i="1" s="1"/>
  <c r="J6" i="4" s="1"/>
  <c r="AB18" i="1"/>
  <c r="AC18" i="1" s="1"/>
  <c r="Z18" i="1"/>
  <c r="AA18" i="1" s="1"/>
  <c r="X18" i="1"/>
  <c r="Y18" i="1" s="1"/>
  <c r="V18" i="1"/>
  <c r="AG18" i="1" s="1"/>
  <c r="I6" i="4" s="1"/>
  <c r="AO17" i="1"/>
  <c r="AO18" i="1" s="1"/>
  <c r="AN17" i="1"/>
  <c r="AH17" i="1" s="1"/>
  <c r="J5" i="4" s="1"/>
  <c r="AB17" i="1"/>
  <c r="AC17" i="1" s="1"/>
  <c r="Z17" i="1"/>
  <c r="AA17" i="1"/>
  <c r="X17" i="1"/>
  <c r="Y17" i="1" s="1"/>
  <c r="V17" i="1"/>
  <c r="W17" i="1" s="1"/>
  <c r="AN16" i="1"/>
  <c r="AH16" i="1" s="1"/>
  <c r="J4" i="4" s="1"/>
  <c r="AB16" i="1"/>
  <c r="AC16" i="1" s="1"/>
  <c r="Z16" i="1"/>
  <c r="AA16" i="1" s="1"/>
  <c r="X16" i="1"/>
  <c r="Y16" i="1" s="1"/>
  <c r="V16" i="1"/>
  <c r="AG16" i="1" s="1"/>
  <c r="I4" i="4" s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 s="1"/>
  <c r="Q192" i="1"/>
  <c r="Q198" i="1"/>
  <c r="P192" i="1"/>
  <c r="P198" i="1" s="1"/>
  <c r="O192" i="1"/>
  <c r="O198" i="1"/>
  <c r="N192" i="1"/>
  <c r="N198" i="1" s="1"/>
  <c r="M192" i="1"/>
  <c r="M198" i="1"/>
  <c r="L192" i="1"/>
  <c r="L198" i="1" s="1"/>
  <c r="K192" i="1"/>
  <c r="K198" i="1"/>
  <c r="J192" i="1"/>
  <c r="J198" i="1" s="1"/>
  <c r="I192" i="1"/>
  <c r="I198" i="1"/>
  <c r="H192" i="1"/>
  <c r="H198" i="1" s="1"/>
  <c r="G192" i="1"/>
  <c r="G198" i="1"/>
  <c r="F192" i="1"/>
  <c r="F198" i="1" s="1"/>
  <c r="E192" i="1"/>
  <c r="E198" i="1"/>
  <c r="B192" i="1"/>
  <c r="S190" i="1"/>
  <c r="S197" i="1" s="1"/>
  <c r="R190" i="1"/>
  <c r="R197" i="1" s="1"/>
  <c r="Q190" i="1"/>
  <c r="Q197" i="1"/>
  <c r="C197" i="1" s="1"/>
  <c r="P190" i="1"/>
  <c r="P197" i="1" s="1"/>
  <c r="O190" i="1"/>
  <c r="O197" i="1" s="1"/>
  <c r="N190" i="1"/>
  <c r="N197" i="1" s="1"/>
  <c r="M190" i="1"/>
  <c r="M197" i="1"/>
  <c r="L190" i="1"/>
  <c r="L197" i="1"/>
  <c r="K190" i="1"/>
  <c r="K197" i="1"/>
  <c r="J190" i="1"/>
  <c r="J197" i="1"/>
  <c r="I190" i="1"/>
  <c r="I197" i="1"/>
  <c r="H190" i="1"/>
  <c r="H197" i="1"/>
  <c r="G190" i="1"/>
  <c r="G197" i="1"/>
  <c r="F190" i="1"/>
  <c r="F197" i="1"/>
  <c r="E190" i="1"/>
  <c r="E197" i="1"/>
  <c r="B190" i="1"/>
  <c r="S188" i="1"/>
  <c r="S196" i="1" s="1"/>
  <c r="R188" i="1"/>
  <c r="R196" i="1" s="1"/>
  <c r="Q188" i="1"/>
  <c r="Q196" i="1" s="1"/>
  <c r="P188" i="1"/>
  <c r="P196" i="1" s="1"/>
  <c r="O188" i="1"/>
  <c r="O196" i="1" s="1"/>
  <c r="N188" i="1"/>
  <c r="N196" i="1" s="1"/>
  <c r="M188" i="1"/>
  <c r="M196" i="1" s="1"/>
  <c r="L188" i="1"/>
  <c r="L196" i="1" s="1"/>
  <c r="K188" i="1"/>
  <c r="K196" i="1" s="1"/>
  <c r="J188" i="1"/>
  <c r="J196" i="1" s="1"/>
  <c r="I188" i="1"/>
  <c r="I196" i="1" s="1"/>
  <c r="H188" i="1"/>
  <c r="H196" i="1" s="1"/>
  <c r="G188" i="1"/>
  <c r="G196" i="1" s="1"/>
  <c r="F188" i="1"/>
  <c r="F196" i="1" s="1"/>
  <c r="E188" i="1"/>
  <c r="E196" i="1" s="1"/>
  <c r="B188" i="1"/>
  <c r="S186" i="1"/>
  <c r="S195" i="1" s="1"/>
  <c r="R186" i="1"/>
  <c r="R195" i="1" s="1"/>
  <c r="Q186" i="1"/>
  <c r="Q195" i="1" s="1"/>
  <c r="P186" i="1"/>
  <c r="P195" i="1" s="1"/>
  <c r="O186" i="1"/>
  <c r="O195" i="1" s="1"/>
  <c r="N186" i="1"/>
  <c r="N195" i="1" s="1"/>
  <c r="M186" i="1"/>
  <c r="M195" i="1" s="1"/>
  <c r="L186" i="1"/>
  <c r="L195" i="1" s="1"/>
  <c r="K186" i="1"/>
  <c r="K195" i="1" s="1"/>
  <c r="J186" i="1"/>
  <c r="J195" i="1" s="1"/>
  <c r="I186" i="1"/>
  <c r="I195" i="1" s="1"/>
  <c r="H186" i="1"/>
  <c r="H195" i="1" s="1"/>
  <c r="G186" i="1"/>
  <c r="G195" i="1" s="1"/>
  <c r="F186" i="1"/>
  <c r="F195" i="1" s="1"/>
  <c r="E186" i="1"/>
  <c r="E195" i="1" s="1"/>
  <c r="B186" i="1"/>
  <c r="U194" i="1"/>
  <c r="S184" i="1"/>
  <c r="S194" i="1" s="1"/>
  <c r="R184" i="1"/>
  <c r="R194" i="1" s="1"/>
  <c r="Q184" i="1"/>
  <c r="Q194" i="1" s="1"/>
  <c r="P184" i="1"/>
  <c r="P194" i="1" s="1"/>
  <c r="O184" i="1"/>
  <c r="O194" i="1" s="1"/>
  <c r="N184" i="1"/>
  <c r="N194" i="1" s="1"/>
  <c r="M184" i="1"/>
  <c r="M194" i="1" s="1"/>
  <c r="L184" i="1"/>
  <c r="L194" i="1" s="1"/>
  <c r="K184" i="1"/>
  <c r="K194" i="1" s="1"/>
  <c r="J184" i="1"/>
  <c r="J194" i="1" s="1"/>
  <c r="I184" i="1"/>
  <c r="I194" i="1" s="1"/>
  <c r="H184" i="1"/>
  <c r="H194" i="1" s="1"/>
  <c r="G184" i="1"/>
  <c r="G194" i="1" s="1"/>
  <c r="F184" i="1"/>
  <c r="F194" i="1" s="1"/>
  <c r="E184" i="1"/>
  <c r="E194" i="1" s="1"/>
  <c r="B184" i="1"/>
  <c r="D181" i="1"/>
  <c r="D180" i="1"/>
  <c r="D179" i="1"/>
  <c r="D178" i="1"/>
  <c r="D177" i="1"/>
  <c r="S175" i="1"/>
  <c r="S181" i="1" s="1"/>
  <c r="R175" i="1"/>
  <c r="R181" i="1" s="1"/>
  <c r="Q175" i="1"/>
  <c r="Q181" i="1" s="1"/>
  <c r="P175" i="1"/>
  <c r="P181" i="1" s="1"/>
  <c r="O175" i="1"/>
  <c r="O181" i="1" s="1"/>
  <c r="N175" i="1"/>
  <c r="N181" i="1" s="1"/>
  <c r="M175" i="1"/>
  <c r="M181" i="1" s="1"/>
  <c r="L175" i="1"/>
  <c r="L181" i="1" s="1"/>
  <c r="K175" i="1"/>
  <c r="K181" i="1" s="1"/>
  <c r="J175" i="1"/>
  <c r="J181" i="1" s="1"/>
  <c r="I175" i="1"/>
  <c r="I181" i="1" s="1"/>
  <c r="H175" i="1"/>
  <c r="H181" i="1" s="1"/>
  <c r="C181" i="1" s="1"/>
  <c r="G175" i="1"/>
  <c r="G181" i="1" s="1"/>
  <c r="F175" i="1"/>
  <c r="F181" i="1" s="1"/>
  <c r="E175" i="1"/>
  <c r="E181" i="1" s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J171" i="1"/>
  <c r="J179" i="1"/>
  <c r="I171" i="1"/>
  <c r="I179" i="1"/>
  <c r="H171" i="1"/>
  <c r="H179" i="1"/>
  <c r="G171" i="1"/>
  <c r="G179" i="1"/>
  <c r="F171" i="1"/>
  <c r="F179" i="1"/>
  <c r="E171" i="1"/>
  <c r="E179" i="1"/>
  <c r="B171" i="1"/>
  <c r="S169" i="1"/>
  <c r="S178" i="1" s="1"/>
  <c r="R169" i="1"/>
  <c r="R178" i="1" s="1"/>
  <c r="Q169" i="1"/>
  <c r="Q178" i="1" s="1"/>
  <c r="P169" i="1"/>
  <c r="P178" i="1" s="1"/>
  <c r="O169" i="1"/>
  <c r="O178" i="1" s="1"/>
  <c r="N169" i="1"/>
  <c r="N178" i="1" s="1"/>
  <c r="M169" i="1"/>
  <c r="M178" i="1" s="1"/>
  <c r="L169" i="1"/>
  <c r="L178" i="1" s="1"/>
  <c r="K169" i="1"/>
  <c r="K178" i="1" s="1"/>
  <c r="J169" i="1"/>
  <c r="J178" i="1" s="1"/>
  <c r="I169" i="1"/>
  <c r="I178" i="1" s="1"/>
  <c r="H169" i="1"/>
  <c r="H178" i="1" s="1"/>
  <c r="G169" i="1"/>
  <c r="G178" i="1" s="1"/>
  <c r="F169" i="1"/>
  <c r="F178" i="1" s="1"/>
  <c r="E169" i="1"/>
  <c r="E178" i="1"/>
  <c r="B169" i="1"/>
  <c r="S167" i="1"/>
  <c r="S177" i="1" s="1"/>
  <c r="R167" i="1"/>
  <c r="R177" i="1" s="1"/>
  <c r="Q167" i="1"/>
  <c r="Q177" i="1" s="1"/>
  <c r="P167" i="1"/>
  <c r="P177" i="1" s="1"/>
  <c r="O167" i="1"/>
  <c r="O177" i="1" s="1"/>
  <c r="N167" i="1"/>
  <c r="N177" i="1" s="1"/>
  <c r="M167" i="1"/>
  <c r="M177" i="1" s="1"/>
  <c r="L167" i="1"/>
  <c r="L177" i="1" s="1"/>
  <c r="K167" i="1"/>
  <c r="K177" i="1" s="1"/>
  <c r="J167" i="1"/>
  <c r="J177" i="1" s="1"/>
  <c r="I167" i="1"/>
  <c r="I177" i="1" s="1"/>
  <c r="H167" i="1"/>
  <c r="H177" i="1" s="1"/>
  <c r="G167" i="1"/>
  <c r="G177" i="1" s="1"/>
  <c r="F167" i="1"/>
  <c r="F177" i="1" s="1"/>
  <c r="E167" i="1"/>
  <c r="E177" i="1" s="1"/>
  <c r="B167" i="1"/>
  <c r="D164" i="1"/>
  <c r="D163" i="1"/>
  <c r="D162" i="1"/>
  <c r="C162" i="1"/>
  <c r="D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 s="1"/>
  <c r="R156" i="1"/>
  <c r="R163" i="1" s="1"/>
  <c r="Q156" i="1"/>
  <c r="Q163" i="1" s="1"/>
  <c r="P156" i="1"/>
  <c r="P163" i="1" s="1"/>
  <c r="O156" i="1"/>
  <c r="O163" i="1" s="1"/>
  <c r="N156" i="1"/>
  <c r="N163" i="1" s="1"/>
  <c r="M156" i="1"/>
  <c r="M163" i="1" s="1"/>
  <c r="L156" i="1"/>
  <c r="L163" i="1" s="1"/>
  <c r="K156" i="1"/>
  <c r="K163" i="1" s="1"/>
  <c r="J156" i="1"/>
  <c r="J163" i="1" s="1"/>
  <c r="I156" i="1"/>
  <c r="I163" i="1" s="1"/>
  <c r="H156" i="1"/>
  <c r="H163" i="1" s="1"/>
  <c r="G156" i="1"/>
  <c r="G163" i="1" s="1"/>
  <c r="F156" i="1"/>
  <c r="F163" i="1" s="1"/>
  <c r="E156" i="1"/>
  <c r="E163" i="1" s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J154" i="1"/>
  <c r="J162" i="1"/>
  <c r="I154" i="1"/>
  <c r="I162" i="1"/>
  <c r="H154" i="1"/>
  <c r="H162" i="1"/>
  <c r="G154" i="1"/>
  <c r="G162" i="1"/>
  <c r="F154" i="1"/>
  <c r="F162" i="1"/>
  <c r="E154" i="1"/>
  <c r="E162" i="1"/>
  <c r="B154" i="1"/>
  <c r="S152" i="1"/>
  <c r="S161" i="1" s="1"/>
  <c r="R152" i="1"/>
  <c r="R161" i="1" s="1"/>
  <c r="Q152" i="1"/>
  <c r="Q161" i="1" s="1"/>
  <c r="P152" i="1"/>
  <c r="P161" i="1" s="1"/>
  <c r="O152" i="1"/>
  <c r="O161" i="1" s="1"/>
  <c r="N152" i="1"/>
  <c r="N161" i="1" s="1"/>
  <c r="M152" i="1"/>
  <c r="M161" i="1" s="1"/>
  <c r="L152" i="1"/>
  <c r="L161" i="1" s="1"/>
  <c r="K152" i="1"/>
  <c r="K161" i="1" s="1"/>
  <c r="J152" i="1"/>
  <c r="J161" i="1" s="1"/>
  <c r="I152" i="1"/>
  <c r="I161" i="1" s="1"/>
  <c r="H152" i="1"/>
  <c r="H161" i="1" s="1"/>
  <c r="G152" i="1"/>
  <c r="G161" i="1" s="1"/>
  <c r="F152" i="1"/>
  <c r="F161" i="1" s="1"/>
  <c r="E152" i="1"/>
  <c r="E161" i="1" s="1"/>
  <c r="C161" i="1"/>
  <c r="B152" i="1"/>
  <c r="S150" i="1"/>
  <c r="S160" i="1" s="1"/>
  <c r="R150" i="1"/>
  <c r="R160" i="1" s="1"/>
  <c r="Q150" i="1"/>
  <c r="Q160" i="1" s="1"/>
  <c r="P150" i="1"/>
  <c r="P160" i="1" s="1"/>
  <c r="O150" i="1"/>
  <c r="O160" i="1"/>
  <c r="N150" i="1"/>
  <c r="N160" i="1" s="1"/>
  <c r="M150" i="1"/>
  <c r="M160" i="1"/>
  <c r="L150" i="1"/>
  <c r="L160" i="1" s="1"/>
  <c r="K150" i="1"/>
  <c r="K160" i="1" s="1"/>
  <c r="J150" i="1"/>
  <c r="J160" i="1" s="1"/>
  <c r="I150" i="1"/>
  <c r="I160" i="1"/>
  <c r="H150" i="1"/>
  <c r="H160" i="1" s="1"/>
  <c r="G150" i="1"/>
  <c r="G160" i="1"/>
  <c r="F150" i="1"/>
  <c r="F160" i="1" s="1"/>
  <c r="E150" i="1"/>
  <c r="E160" i="1"/>
  <c r="B150" i="1"/>
  <c r="D147" i="1"/>
  <c r="D146" i="1"/>
  <c r="D145" i="1"/>
  <c r="D144" i="1"/>
  <c r="D143" i="1"/>
  <c r="S141" i="1"/>
  <c r="S147" i="1"/>
  <c r="R141" i="1"/>
  <c r="R147" i="1" s="1"/>
  <c r="Q141" i="1"/>
  <c r="Q147" i="1" s="1"/>
  <c r="P141" i="1"/>
  <c r="P147" i="1" s="1"/>
  <c r="O141" i="1"/>
  <c r="O147" i="1"/>
  <c r="N141" i="1"/>
  <c r="N147" i="1" s="1"/>
  <c r="M141" i="1"/>
  <c r="M147" i="1"/>
  <c r="L141" i="1"/>
  <c r="L147" i="1" s="1"/>
  <c r="K141" i="1"/>
  <c r="K147" i="1"/>
  <c r="J141" i="1"/>
  <c r="J147" i="1" s="1"/>
  <c r="I141" i="1"/>
  <c r="I147" i="1" s="1"/>
  <c r="C147" i="1" s="1"/>
  <c r="H141" i="1"/>
  <c r="H147" i="1" s="1"/>
  <c r="G141" i="1"/>
  <c r="G147" i="1"/>
  <c r="F141" i="1"/>
  <c r="F147" i="1" s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L139" i="1"/>
  <c r="L146" i="1"/>
  <c r="K139" i="1"/>
  <c r="K146" i="1"/>
  <c r="J139" i="1"/>
  <c r="J146" i="1"/>
  <c r="I139" i="1"/>
  <c r="I146" i="1"/>
  <c r="H139" i="1"/>
  <c r="H146" i="1"/>
  <c r="G139" i="1"/>
  <c r="G146" i="1"/>
  <c r="F139" i="1"/>
  <c r="F146" i="1"/>
  <c r="E139" i="1"/>
  <c r="E146" i="1"/>
  <c r="B139" i="1"/>
  <c r="S137" i="1"/>
  <c r="S145" i="1" s="1"/>
  <c r="R137" i="1"/>
  <c r="R145" i="1"/>
  <c r="Q137" i="1"/>
  <c r="Q145" i="1" s="1"/>
  <c r="P137" i="1"/>
  <c r="P145" i="1" s="1"/>
  <c r="O137" i="1"/>
  <c r="O145" i="1" s="1"/>
  <c r="N137" i="1"/>
  <c r="N145" i="1"/>
  <c r="M137" i="1"/>
  <c r="M145" i="1" s="1"/>
  <c r="L137" i="1"/>
  <c r="L145" i="1"/>
  <c r="K137" i="1"/>
  <c r="K145" i="1" s="1"/>
  <c r="J137" i="1"/>
  <c r="J145" i="1"/>
  <c r="I137" i="1"/>
  <c r="I145" i="1" s="1"/>
  <c r="H137" i="1"/>
  <c r="H145" i="1" s="1"/>
  <c r="G137" i="1"/>
  <c r="G145" i="1" s="1"/>
  <c r="F137" i="1"/>
  <c r="F145" i="1"/>
  <c r="E137" i="1"/>
  <c r="E145" i="1" s="1"/>
  <c r="B137" i="1"/>
  <c r="S135" i="1"/>
  <c r="S144" i="1" s="1"/>
  <c r="R135" i="1"/>
  <c r="R144" i="1"/>
  <c r="Q135" i="1"/>
  <c r="Q144" i="1" s="1"/>
  <c r="P135" i="1"/>
  <c r="P144" i="1" s="1"/>
  <c r="O135" i="1"/>
  <c r="O144" i="1" s="1"/>
  <c r="N135" i="1"/>
  <c r="N144" i="1"/>
  <c r="M135" i="1"/>
  <c r="M144" i="1" s="1"/>
  <c r="L135" i="1"/>
  <c r="L144" i="1"/>
  <c r="K135" i="1"/>
  <c r="K144" i="1" s="1"/>
  <c r="J135" i="1"/>
  <c r="J144" i="1"/>
  <c r="I135" i="1"/>
  <c r="I144" i="1" s="1"/>
  <c r="H135" i="1"/>
  <c r="H144" i="1" s="1"/>
  <c r="G135" i="1"/>
  <c r="G144" i="1" s="1"/>
  <c r="F135" i="1"/>
  <c r="F144" i="1"/>
  <c r="E135" i="1"/>
  <c r="E144" i="1" s="1"/>
  <c r="B135" i="1"/>
  <c r="S133" i="1"/>
  <c r="S143" i="1"/>
  <c r="R133" i="1"/>
  <c r="R143" i="1"/>
  <c r="Q133" i="1"/>
  <c r="Q143" i="1"/>
  <c r="P133" i="1"/>
  <c r="P143" i="1"/>
  <c r="O133" i="1"/>
  <c r="O143" i="1"/>
  <c r="N133" i="1"/>
  <c r="N143" i="1"/>
  <c r="M133" i="1"/>
  <c r="M143" i="1"/>
  <c r="L133" i="1"/>
  <c r="L143" i="1"/>
  <c r="K133" i="1"/>
  <c r="K143" i="1"/>
  <c r="J133" i="1"/>
  <c r="J143" i="1"/>
  <c r="I133" i="1"/>
  <c r="I143" i="1"/>
  <c r="H133" i="1"/>
  <c r="H143" i="1"/>
  <c r="G133" i="1"/>
  <c r="G143" i="1"/>
  <c r="F133" i="1"/>
  <c r="F143" i="1"/>
  <c r="E133" i="1"/>
  <c r="E143" i="1"/>
  <c r="C143" i="1" s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C130" i="1" s="1"/>
  <c r="E124" i="1"/>
  <c r="E130" i="1"/>
  <c r="B124" i="1"/>
  <c r="S122" i="1"/>
  <c r="S129" i="1" s="1"/>
  <c r="R122" i="1"/>
  <c r="R129" i="1"/>
  <c r="Q122" i="1"/>
  <c r="Q129" i="1" s="1"/>
  <c r="P122" i="1"/>
  <c r="P129" i="1"/>
  <c r="O122" i="1"/>
  <c r="O129" i="1" s="1"/>
  <c r="N122" i="1"/>
  <c r="N129" i="1"/>
  <c r="M122" i="1"/>
  <c r="M129" i="1" s="1"/>
  <c r="L122" i="1"/>
  <c r="L129" i="1"/>
  <c r="K122" i="1"/>
  <c r="K129" i="1" s="1"/>
  <c r="J122" i="1"/>
  <c r="J129" i="1"/>
  <c r="I122" i="1"/>
  <c r="I129" i="1" s="1"/>
  <c r="H122" i="1"/>
  <c r="H129" i="1"/>
  <c r="G122" i="1"/>
  <c r="G129" i="1" s="1"/>
  <c r="F122" i="1"/>
  <c r="F129" i="1"/>
  <c r="E122" i="1"/>
  <c r="E129" i="1" s="1"/>
  <c r="B122" i="1"/>
  <c r="S120" i="1"/>
  <c r="S128" i="1" s="1"/>
  <c r="R120" i="1"/>
  <c r="R128" i="1"/>
  <c r="Q120" i="1"/>
  <c r="Q128" i="1" s="1"/>
  <c r="P120" i="1"/>
  <c r="P128" i="1"/>
  <c r="O120" i="1"/>
  <c r="O128" i="1" s="1"/>
  <c r="N120" i="1"/>
  <c r="N128" i="1"/>
  <c r="M120" i="1"/>
  <c r="M128" i="1" s="1"/>
  <c r="L120" i="1"/>
  <c r="L128" i="1"/>
  <c r="K120" i="1"/>
  <c r="K128" i="1" s="1"/>
  <c r="J120" i="1"/>
  <c r="J128" i="1"/>
  <c r="I120" i="1"/>
  <c r="I128" i="1" s="1"/>
  <c r="H120" i="1"/>
  <c r="H128" i="1"/>
  <c r="G120" i="1"/>
  <c r="G128" i="1" s="1"/>
  <c r="F120" i="1"/>
  <c r="F128" i="1"/>
  <c r="E120" i="1"/>
  <c r="E128" i="1" s="1"/>
  <c r="C128" i="1" s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L118" i="1"/>
  <c r="L127" i="1"/>
  <c r="K118" i="1"/>
  <c r="K127" i="1"/>
  <c r="J118" i="1"/>
  <c r="J127" i="1"/>
  <c r="I118" i="1"/>
  <c r="I127" i="1"/>
  <c r="H118" i="1"/>
  <c r="H127" i="1"/>
  <c r="G118" i="1"/>
  <c r="G127" i="1"/>
  <c r="F118" i="1"/>
  <c r="F127" i="1"/>
  <c r="E118" i="1"/>
  <c r="E127" i="1"/>
  <c r="B118" i="1"/>
  <c r="S116" i="1"/>
  <c r="S126" i="1"/>
  <c r="R116" i="1"/>
  <c r="R126" i="1" s="1"/>
  <c r="Q116" i="1"/>
  <c r="Q126" i="1"/>
  <c r="P116" i="1"/>
  <c r="P126" i="1" s="1"/>
  <c r="O116" i="1"/>
  <c r="O126" i="1"/>
  <c r="N116" i="1"/>
  <c r="N126" i="1" s="1"/>
  <c r="M116" i="1"/>
  <c r="M126" i="1"/>
  <c r="L116" i="1"/>
  <c r="L126" i="1" s="1"/>
  <c r="K116" i="1"/>
  <c r="K126" i="1"/>
  <c r="J116" i="1"/>
  <c r="J126" i="1" s="1"/>
  <c r="I116" i="1"/>
  <c r="I126" i="1"/>
  <c r="H116" i="1"/>
  <c r="H126" i="1" s="1"/>
  <c r="G116" i="1"/>
  <c r="G126" i="1"/>
  <c r="F116" i="1"/>
  <c r="F126" i="1" s="1"/>
  <c r="E116" i="1"/>
  <c r="E126" i="1"/>
  <c r="B116" i="1"/>
  <c r="X9" i="1" s="1"/>
  <c r="J9" i="1" s="1"/>
  <c r="E2" i="4" s="1"/>
  <c r="D113" i="1"/>
  <c r="D112" i="1"/>
  <c r="D111" i="1"/>
  <c r="D110" i="1"/>
  <c r="C110" i="1" s="1"/>
  <c r="D109" i="1"/>
  <c r="S107" i="1"/>
  <c r="S113" i="1"/>
  <c r="R107" i="1"/>
  <c r="R113" i="1" s="1"/>
  <c r="Q107" i="1"/>
  <c r="Q113" i="1"/>
  <c r="P107" i="1"/>
  <c r="P113" i="1" s="1"/>
  <c r="O107" i="1"/>
  <c r="O113" i="1"/>
  <c r="N107" i="1"/>
  <c r="N113" i="1" s="1"/>
  <c r="M107" i="1"/>
  <c r="M113" i="1"/>
  <c r="L107" i="1"/>
  <c r="L113" i="1" s="1"/>
  <c r="K107" i="1"/>
  <c r="K113" i="1"/>
  <c r="J107" i="1"/>
  <c r="J113" i="1" s="1"/>
  <c r="C113" i="1" s="1"/>
  <c r="I107" i="1"/>
  <c r="I113" i="1"/>
  <c r="H107" i="1"/>
  <c r="H113" i="1" s="1"/>
  <c r="G107" i="1"/>
  <c r="G113" i="1"/>
  <c r="F107" i="1"/>
  <c r="F113" i="1" s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 s="1"/>
  <c r="R103" i="1"/>
  <c r="R111" i="1"/>
  <c r="Q103" i="1"/>
  <c r="Q111" i="1" s="1"/>
  <c r="P103" i="1"/>
  <c r="P111" i="1"/>
  <c r="O103" i="1"/>
  <c r="O111" i="1" s="1"/>
  <c r="N103" i="1"/>
  <c r="N111" i="1"/>
  <c r="M103" i="1"/>
  <c r="M111" i="1" s="1"/>
  <c r="L103" i="1"/>
  <c r="L111" i="1"/>
  <c r="K103" i="1"/>
  <c r="K111" i="1" s="1"/>
  <c r="J103" i="1"/>
  <c r="J111" i="1"/>
  <c r="I103" i="1"/>
  <c r="I111" i="1" s="1"/>
  <c r="C111" i="1" s="1"/>
  <c r="H103" i="1"/>
  <c r="H111" i="1"/>
  <c r="G103" i="1"/>
  <c r="G111" i="1" s="1"/>
  <c r="F103" i="1"/>
  <c r="F111" i="1"/>
  <c r="E103" i="1"/>
  <c r="E111" i="1" s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L101" i="1"/>
  <c r="L110" i="1"/>
  <c r="K101" i="1"/>
  <c r="K110" i="1"/>
  <c r="J101" i="1"/>
  <c r="J110" i="1"/>
  <c r="I101" i="1"/>
  <c r="I110" i="1"/>
  <c r="H101" i="1"/>
  <c r="H110" i="1"/>
  <c r="G101" i="1"/>
  <c r="G110" i="1"/>
  <c r="F101" i="1"/>
  <c r="F110" i="1"/>
  <c r="E101" i="1"/>
  <c r="E110" i="1"/>
  <c r="B101" i="1"/>
  <c r="S99" i="1"/>
  <c r="S109" i="1"/>
  <c r="R99" i="1"/>
  <c r="R109" i="1" s="1"/>
  <c r="Q99" i="1"/>
  <c r="Q109" i="1"/>
  <c r="P99" i="1"/>
  <c r="P109" i="1" s="1"/>
  <c r="O99" i="1"/>
  <c r="O109" i="1"/>
  <c r="N99" i="1"/>
  <c r="N109" i="1" s="1"/>
  <c r="M99" i="1"/>
  <c r="M109" i="1"/>
  <c r="L99" i="1"/>
  <c r="L109" i="1" s="1"/>
  <c r="K99" i="1"/>
  <c r="K109" i="1"/>
  <c r="J99" i="1"/>
  <c r="J109" i="1" s="1"/>
  <c r="I99" i="1"/>
  <c r="I109" i="1"/>
  <c r="H99" i="1"/>
  <c r="H109" i="1" s="1"/>
  <c r="G99" i="1"/>
  <c r="G109" i="1"/>
  <c r="F99" i="1"/>
  <c r="F109" i="1" s="1"/>
  <c r="E99" i="1"/>
  <c r="E109" i="1"/>
  <c r="B99" i="1"/>
  <c r="D96" i="1"/>
  <c r="D95" i="1"/>
  <c r="E94" i="1"/>
  <c r="D94" i="1"/>
  <c r="C94" i="1" s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C96" i="1" s="1"/>
  <c r="E90" i="1"/>
  <c r="E96" i="1"/>
  <c r="B90" i="1"/>
  <c r="S88" i="1"/>
  <c r="S95" i="1" s="1"/>
  <c r="R88" i="1"/>
  <c r="R95" i="1"/>
  <c r="Q88" i="1"/>
  <c r="Q95" i="1" s="1"/>
  <c r="P88" i="1"/>
  <c r="P95" i="1"/>
  <c r="O88" i="1"/>
  <c r="O95" i="1" s="1"/>
  <c r="N88" i="1"/>
  <c r="N95" i="1"/>
  <c r="M88" i="1"/>
  <c r="M95" i="1" s="1"/>
  <c r="L88" i="1"/>
  <c r="L95" i="1"/>
  <c r="K88" i="1"/>
  <c r="K95" i="1" s="1"/>
  <c r="J88" i="1"/>
  <c r="J95" i="1"/>
  <c r="I88" i="1"/>
  <c r="I95" i="1" s="1"/>
  <c r="C95" i="1" s="1"/>
  <c r="H88" i="1"/>
  <c r="H95" i="1"/>
  <c r="G88" i="1"/>
  <c r="G95" i="1" s="1"/>
  <c r="F88" i="1"/>
  <c r="F95" i="1"/>
  <c r="E88" i="1"/>
  <c r="E95" i="1" s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K86" i="1"/>
  <c r="K94" i="1"/>
  <c r="J86" i="1"/>
  <c r="J94" i="1"/>
  <c r="I86" i="1"/>
  <c r="I94" i="1"/>
  <c r="H86" i="1"/>
  <c r="H94" i="1"/>
  <c r="G86" i="1"/>
  <c r="G94" i="1"/>
  <c r="F86" i="1"/>
  <c r="F94" i="1"/>
  <c r="E86" i="1"/>
  <c r="S84" i="1"/>
  <c r="S93" i="1" s="1"/>
  <c r="R84" i="1"/>
  <c r="R93" i="1"/>
  <c r="Q84" i="1"/>
  <c r="Q93" i="1" s="1"/>
  <c r="P84" i="1"/>
  <c r="P93" i="1"/>
  <c r="O84" i="1"/>
  <c r="O93" i="1" s="1"/>
  <c r="N84" i="1"/>
  <c r="N93" i="1"/>
  <c r="M84" i="1"/>
  <c r="M93" i="1" s="1"/>
  <c r="L84" i="1"/>
  <c r="L93" i="1"/>
  <c r="K84" i="1"/>
  <c r="K93" i="1" s="1"/>
  <c r="J84" i="1"/>
  <c r="J93" i="1"/>
  <c r="I84" i="1"/>
  <c r="I93" i="1" s="1"/>
  <c r="C93" i="1" s="1"/>
  <c r="H84" i="1"/>
  <c r="H93" i="1"/>
  <c r="G84" i="1"/>
  <c r="G93" i="1" s="1"/>
  <c r="F84" i="1"/>
  <c r="F93" i="1"/>
  <c r="E84" i="1"/>
  <c r="E93" i="1" s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L82" i="1"/>
  <c r="L92" i="1"/>
  <c r="K82" i="1"/>
  <c r="K92" i="1"/>
  <c r="J82" i="1"/>
  <c r="J92" i="1"/>
  <c r="I82" i="1"/>
  <c r="I92" i="1"/>
  <c r="H82" i="1"/>
  <c r="H92" i="1"/>
  <c r="G82" i="1"/>
  <c r="G92" i="1"/>
  <c r="F82" i="1"/>
  <c r="F92" i="1"/>
  <c r="E82" i="1"/>
  <c r="E92" i="1" s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G73" i="1"/>
  <c r="G79" i="1"/>
  <c r="H73" i="1"/>
  <c r="I73" i="1"/>
  <c r="I79" i="1"/>
  <c r="S71" i="1"/>
  <c r="S78" i="1" s="1"/>
  <c r="R71" i="1"/>
  <c r="R78" i="1"/>
  <c r="Q71" i="1"/>
  <c r="Q78" i="1" s="1"/>
  <c r="P71" i="1"/>
  <c r="P78" i="1"/>
  <c r="O71" i="1"/>
  <c r="O78" i="1" s="1"/>
  <c r="N71" i="1"/>
  <c r="N78" i="1"/>
  <c r="E71" i="1"/>
  <c r="E78" i="1" s="1"/>
  <c r="F71" i="1"/>
  <c r="F78" i="1" s="1"/>
  <c r="G71" i="1"/>
  <c r="G78" i="1"/>
  <c r="H71" i="1"/>
  <c r="I71" i="1"/>
  <c r="I78" i="1"/>
  <c r="J71" i="1"/>
  <c r="J78" i="1" s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F77" i="1" s="1"/>
  <c r="G69" i="1"/>
  <c r="G77" i="1"/>
  <c r="H69" i="1"/>
  <c r="I69" i="1"/>
  <c r="J69" i="1"/>
  <c r="K69" i="1"/>
  <c r="K77" i="1" s="1"/>
  <c r="L69" i="1"/>
  <c r="L77" i="1"/>
  <c r="S67" i="1"/>
  <c r="S76" i="1" s="1"/>
  <c r="R67" i="1"/>
  <c r="R76" i="1"/>
  <c r="Q67" i="1"/>
  <c r="Q76" i="1" s="1"/>
  <c r="P67" i="1"/>
  <c r="P76" i="1"/>
  <c r="O67" i="1"/>
  <c r="O76" i="1" s="1"/>
  <c r="N67" i="1"/>
  <c r="N76" i="1"/>
  <c r="M67" i="1"/>
  <c r="M76" i="1" s="1"/>
  <c r="E67" i="1"/>
  <c r="E76" i="1"/>
  <c r="F67" i="1"/>
  <c r="G67" i="1"/>
  <c r="G76" i="1"/>
  <c r="H67" i="1"/>
  <c r="I67" i="1"/>
  <c r="I76" i="1" s="1"/>
  <c r="J67" i="1"/>
  <c r="J76" i="1" s="1"/>
  <c r="K67" i="1"/>
  <c r="L67" i="1"/>
  <c r="L76" i="1" s="1"/>
  <c r="N65" i="1"/>
  <c r="N75" i="1"/>
  <c r="O65" i="1"/>
  <c r="O75" i="1" s="1"/>
  <c r="C75" i="1" s="1"/>
  <c r="P65" i="1"/>
  <c r="P75" i="1"/>
  <c r="Q65" i="1"/>
  <c r="Q75" i="1" s="1"/>
  <c r="R65" i="1"/>
  <c r="R75" i="1"/>
  <c r="S65" i="1"/>
  <c r="S75" i="1" s="1"/>
  <c r="E65" i="1"/>
  <c r="E75" i="1"/>
  <c r="F65" i="1"/>
  <c r="F75" i="1" s="1"/>
  <c r="G65" i="1"/>
  <c r="G75" i="1"/>
  <c r="H65" i="1"/>
  <c r="H75" i="1"/>
  <c r="I65" i="1"/>
  <c r="J65" i="1"/>
  <c r="J75" i="1"/>
  <c r="K65" i="1"/>
  <c r="L65" i="1"/>
  <c r="L75" i="1"/>
  <c r="M65" i="1"/>
  <c r="M75" i="1"/>
  <c r="D57" i="1"/>
  <c r="M55" i="1"/>
  <c r="M58" i="1"/>
  <c r="L55" i="1"/>
  <c r="L58" i="1"/>
  <c r="K55" i="1"/>
  <c r="K58" i="1"/>
  <c r="J55" i="1"/>
  <c r="J58" i="1"/>
  <c r="D55" i="1"/>
  <c r="D58" i="1"/>
  <c r="U56" i="1" s="1"/>
  <c r="AC56" i="1" s="1"/>
  <c r="M53" i="1"/>
  <c r="M57" i="1"/>
  <c r="L53" i="1"/>
  <c r="L57" i="1"/>
  <c r="K53" i="1"/>
  <c r="K57" i="1"/>
  <c r="F53" i="1"/>
  <c r="F57" i="1"/>
  <c r="F55" i="1"/>
  <c r="E53" i="1"/>
  <c r="E57" i="1" s="1"/>
  <c r="D50" i="1"/>
  <c r="M48" i="1"/>
  <c r="M51" i="1" s="1"/>
  <c r="L48" i="1"/>
  <c r="L51" i="1"/>
  <c r="K48" i="1"/>
  <c r="K51" i="1" s="1"/>
  <c r="J48" i="1"/>
  <c r="J51" i="1"/>
  <c r="D48" i="1"/>
  <c r="D51" i="1" s="1"/>
  <c r="M46" i="1"/>
  <c r="M50" i="1"/>
  <c r="L46" i="1"/>
  <c r="L50" i="1" s="1"/>
  <c r="K46" i="1"/>
  <c r="K50" i="1"/>
  <c r="E46" i="1"/>
  <c r="E50" i="1" s="1"/>
  <c r="D43" i="1"/>
  <c r="M41" i="1"/>
  <c r="M44" i="1"/>
  <c r="L41" i="1"/>
  <c r="L44" i="1" s="1"/>
  <c r="K41" i="1"/>
  <c r="K44" i="1"/>
  <c r="J41" i="1"/>
  <c r="J44" i="1" s="1"/>
  <c r="D41" i="1"/>
  <c r="D44" i="1"/>
  <c r="M39" i="1"/>
  <c r="M43" i="1"/>
  <c r="L39" i="1"/>
  <c r="L43" i="1" s="1"/>
  <c r="K39" i="1"/>
  <c r="K43" i="1"/>
  <c r="E39" i="1"/>
  <c r="E43" i="1" s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C195" i="1"/>
  <c r="C194" i="1"/>
  <c r="C179" i="1"/>
  <c r="C160" i="1"/>
  <c r="C163" i="1"/>
  <c r="F76" i="1"/>
  <c r="K76" i="1"/>
  <c r="H76" i="1"/>
  <c r="J77" i="1"/>
  <c r="H77" i="1"/>
  <c r="C77" i="1" s="1"/>
  <c r="I77" i="1"/>
  <c r="E77" i="1"/>
  <c r="H78" i="1"/>
  <c r="E79" i="1"/>
  <c r="H79" i="1"/>
  <c r="F79" i="1"/>
  <c r="K75" i="1"/>
  <c r="I75" i="1"/>
  <c r="E41" i="1"/>
  <c r="E48" i="1"/>
  <c r="E51" i="1" s="1"/>
  <c r="E55" i="1"/>
  <c r="E58" i="1"/>
  <c r="G53" i="1"/>
  <c r="F58" i="1"/>
  <c r="J34" i="1"/>
  <c r="J37" i="1"/>
  <c r="K34" i="1"/>
  <c r="K37" i="1" s="1"/>
  <c r="L34" i="1"/>
  <c r="L37" i="1"/>
  <c r="M34" i="1"/>
  <c r="M37" i="1" s="1"/>
  <c r="D34" i="1"/>
  <c r="D37" i="1"/>
  <c r="K32" i="1"/>
  <c r="K36" i="1" s="1"/>
  <c r="L32" i="1"/>
  <c r="L36" i="1"/>
  <c r="M32" i="1"/>
  <c r="M36" i="1" s="1"/>
  <c r="E32" i="1"/>
  <c r="E36" i="1"/>
  <c r="M71" i="1"/>
  <c r="M78" i="1" s="1"/>
  <c r="E34" i="1"/>
  <c r="E37" i="1"/>
  <c r="E44" i="1"/>
  <c r="F39" i="1"/>
  <c r="F46" i="1"/>
  <c r="F50" i="1"/>
  <c r="G57" i="1"/>
  <c r="G55" i="1"/>
  <c r="F32" i="1"/>
  <c r="F36" i="1"/>
  <c r="F41" i="1"/>
  <c r="F43" i="1"/>
  <c r="F48" i="1"/>
  <c r="F51" i="1"/>
  <c r="G58" i="1"/>
  <c r="H53" i="1"/>
  <c r="H57" i="1" s="1"/>
  <c r="F34" i="1"/>
  <c r="F37" i="1"/>
  <c r="F44" i="1"/>
  <c r="G39" i="1"/>
  <c r="G43" i="1" s="1"/>
  <c r="G46" i="1"/>
  <c r="G50" i="1"/>
  <c r="H55" i="1"/>
  <c r="H58" i="1" s="1"/>
  <c r="G32" i="1"/>
  <c r="G36" i="1" s="1"/>
  <c r="G41" i="1"/>
  <c r="G44" i="1"/>
  <c r="G48" i="1"/>
  <c r="G51" i="1"/>
  <c r="I53" i="1"/>
  <c r="I57" i="1" s="1"/>
  <c r="G34" i="1"/>
  <c r="H39" i="1"/>
  <c r="H43" i="1" s="1"/>
  <c r="H46" i="1"/>
  <c r="I55" i="1"/>
  <c r="I58" i="1" s="1"/>
  <c r="G37" i="1"/>
  <c r="U35" i="1" s="1"/>
  <c r="AC35" i="1" s="1"/>
  <c r="H32" i="1"/>
  <c r="H36" i="1" s="1"/>
  <c r="H41" i="1"/>
  <c r="H50" i="1"/>
  <c r="H48" i="1"/>
  <c r="H51" i="1" s="1"/>
  <c r="J53" i="1"/>
  <c r="J57" i="1"/>
  <c r="H34" i="1"/>
  <c r="H37" i="1" s="1"/>
  <c r="H44" i="1"/>
  <c r="I39" i="1"/>
  <c r="I43" i="1" s="1"/>
  <c r="I46" i="1"/>
  <c r="I32" i="1"/>
  <c r="I36" i="1" s="1"/>
  <c r="I41" i="1"/>
  <c r="I48" i="1"/>
  <c r="I50" i="1"/>
  <c r="I34" i="1"/>
  <c r="J39" i="1"/>
  <c r="J43" i="1"/>
  <c r="I44" i="1"/>
  <c r="J46" i="1"/>
  <c r="J50" i="1"/>
  <c r="I51" i="1"/>
  <c r="J32" i="1"/>
  <c r="J36" i="1" s="1"/>
  <c r="I37" i="1"/>
  <c r="AO19" i="1"/>
  <c r="AG24" i="1"/>
  <c r="I12" i="4" s="1"/>
  <c r="AB66" i="1"/>
  <c r="AM74" i="1"/>
  <c r="AB85" i="1"/>
  <c r="Y87" i="1"/>
  <c r="Y89" i="1" s="1"/>
  <c r="AB87" i="1"/>
  <c r="AB91" i="1"/>
  <c r="AD84" i="1" s="1"/>
  <c r="AM91" i="1"/>
  <c r="Y104" i="1"/>
  <c r="V102" i="1"/>
  <c r="AH102" i="1"/>
  <c r="AB68" i="1"/>
  <c r="AB70" i="1"/>
  <c r="AB83" i="1"/>
  <c r="AB106" i="1"/>
  <c r="AB108" i="1"/>
  <c r="T109" i="1"/>
  <c r="AB117" i="1"/>
  <c r="AM117" i="1"/>
  <c r="AB136" i="1"/>
  <c r="AB140" i="1"/>
  <c r="AD135" i="1" s="1"/>
  <c r="AB100" i="1"/>
  <c r="AB119" i="1"/>
  <c r="Y121" i="1"/>
  <c r="AB121" i="1"/>
  <c r="AM134" i="1"/>
  <c r="AM142" i="1"/>
  <c r="AB153" i="1"/>
  <c r="AB155" i="1"/>
  <c r="AD152" i="1" s="1"/>
  <c r="AB157" i="1"/>
  <c r="T160" i="1"/>
  <c r="AB168" i="1"/>
  <c r="AM168" i="1"/>
  <c r="AM176" i="1"/>
  <c r="AB187" i="1"/>
  <c r="Y189" i="1"/>
  <c r="Y191" i="1" s="1"/>
  <c r="AB189" i="1"/>
  <c r="AM193" i="1"/>
  <c r="Y172" i="1"/>
  <c r="AB172" i="1"/>
  <c r="AB174" i="1"/>
  <c r="AB185" i="1"/>
  <c r="AB191" i="1"/>
  <c r="Y106" i="1"/>
  <c r="Y108" i="1" s="1"/>
  <c r="AA108" i="1" s="1"/>
  <c r="Y123" i="1"/>
  <c r="AA191" i="1"/>
  <c r="Y193" i="1"/>
  <c r="AA193" i="1"/>
  <c r="AB104" i="1"/>
  <c r="V104" i="1"/>
  <c r="AH104" i="1" s="1"/>
  <c r="T126" i="1"/>
  <c r="V123" i="1"/>
  <c r="AH123" i="1"/>
  <c r="V125" i="1"/>
  <c r="AH125" i="1" s="1"/>
  <c r="AB102" i="1"/>
  <c r="AD101" i="1"/>
  <c r="AB138" i="1"/>
  <c r="AI104" i="1"/>
  <c r="C164" i="1"/>
  <c r="C177" i="1"/>
  <c r="AM72" i="1"/>
  <c r="AB72" i="1"/>
  <c r="AD67" i="1" s="1"/>
  <c r="Y138" i="1"/>
  <c r="Y140" i="1" s="1"/>
  <c r="Y142" i="1" s="1"/>
  <c r="AA142" i="1" s="1"/>
  <c r="AB134" i="1"/>
  <c r="AM151" i="1"/>
  <c r="Y155" i="1"/>
  <c r="AB151" i="1"/>
  <c r="AM170" i="1"/>
  <c r="T177" i="1"/>
  <c r="AB170" i="1"/>
  <c r="AD169" i="1" s="1"/>
  <c r="AA106" i="1"/>
  <c r="AD100" i="1"/>
  <c r="T143" i="1"/>
  <c r="AD133" i="1" s="1"/>
  <c r="AB89" i="1"/>
  <c r="C112" i="1"/>
  <c r="C127" i="1"/>
  <c r="C146" i="1"/>
  <c r="T75" i="1"/>
  <c r="AM66" i="1"/>
  <c r="T92" i="1"/>
  <c r="AM83" i="1"/>
  <c r="AM191" i="1"/>
  <c r="T194" i="1"/>
  <c r="U126" i="1"/>
  <c r="AM159" i="1"/>
  <c r="AB159" i="1"/>
  <c r="S80" i="1"/>
  <c r="AD82" i="1"/>
  <c r="Y157" i="1"/>
  <c r="Y159" i="1" s="1"/>
  <c r="AA159" i="1" s="1"/>
  <c r="AD151" i="1" s="1"/>
  <c r="AD184" i="1"/>
  <c r="S182" i="1"/>
  <c r="Y91" i="1"/>
  <c r="AA91" i="1" s="1"/>
  <c r="AA89" i="1"/>
  <c r="AD83" i="1"/>
  <c r="S131" i="1"/>
  <c r="C141" i="1" s="1"/>
  <c r="E20" i="1" s="1"/>
  <c r="D8" i="4" s="1"/>
  <c r="C140" i="1"/>
  <c r="D20" i="1" s="1"/>
  <c r="C192" i="1"/>
  <c r="E23" i="1" s="1"/>
  <c r="D11" i="4" s="1"/>
  <c r="C191" i="1"/>
  <c r="D23" i="1"/>
  <c r="AA157" i="1"/>
  <c r="AG22" i="1"/>
  <c r="I10" i="4" s="1"/>
  <c r="AG20" i="1"/>
  <c r="I8" i="4" s="1"/>
  <c r="AQ17" i="1"/>
  <c r="AQ18" i="1"/>
  <c r="AT16" i="1"/>
  <c r="AR18" i="1"/>
  <c r="AI16" i="1"/>
  <c r="AK16" i="1"/>
  <c r="AS18" i="1"/>
  <c r="AS17" i="1"/>
  <c r="AR17" i="1"/>
  <c r="AT18" i="1"/>
  <c r="AK18" i="1"/>
  <c r="AS16" i="1"/>
  <c r="AK17" i="1"/>
  <c r="AJ17" i="1"/>
  <c r="AP19" i="1"/>
  <c r="AT17" i="1"/>
  <c r="AQ16" i="1"/>
  <c r="AM17" i="1"/>
  <c r="AP18" i="1"/>
  <c r="AL18" i="1"/>
  <c r="AT19" i="1"/>
  <c r="AM18" i="1"/>
  <c r="AJ18" i="1"/>
  <c r="AP16" i="1"/>
  <c r="AL17" i="1"/>
  <c r="AP17" i="1"/>
  <c r="AG25" i="1" l="1"/>
  <c r="I13" i="4" s="1"/>
  <c r="W19" i="1"/>
  <c r="W18" i="1"/>
  <c r="W16" i="1"/>
  <c r="AG17" i="1"/>
  <c r="I5" i="4" s="1"/>
  <c r="AD16" i="1"/>
  <c r="AG23" i="1"/>
  <c r="I11" i="4" s="1"/>
  <c r="AG21" i="1"/>
  <c r="I9" i="4" s="1"/>
  <c r="C89" i="1"/>
  <c r="D17" i="1" s="1"/>
  <c r="C90" i="1"/>
  <c r="E17" i="1" s="1"/>
  <c r="D5" i="4" s="1"/>
  <c r="AO20" i="1"/>
  <c r="I20" i="1"/>
  <c r="H8" i="4" s="1"/>
  <c r="C8" i="4"/>
  <c r="Y174" i="1"/>
  <c r="Y176" i="1" s="1"/>
  <c r="AA176" i="1" s="1"/>
  <c r="U33" i="1"/>
  <c r="AD154" i="1"/>
  <c r="AD155" i="1"/>
  <c r="U47" i="1"/>
  <c r="C109" i="1"/>
  <c r="AI102" i="1"/>
  <c r="AI100" i="1"/>
  <c r="W193" i="1"/>
  <c r="V193" i="1" s="1"/>
  <c r="AH193" i="1" s="1"/>
  <c r="AA140" i="1"/>
  <c r="AD134" i="1" s="1"/>
  <c r="AA123" i="1"/>
  <c r="Y125" i="1"/>
  <c r="AA125" i="1" s="1"/>
  <c r="AK104" i="1"/>
  <c r="AL104" i="1" s="1"/>
  <c r="S114" i="1"/>
  <c r="AD116" i="1"/>
  <c r="C126" i="1"/>
  <c r="C11" i="4"/>
  <c r="I23" i="1"/>
  <c r="H11" i="4" s="1"/>
  <c r="AJ104" i="1"/>
  <c r="U42" i="1"/>
  <c r="AC42" i="1" s="1"/>
  <c r="C76" i="1"/>
  <c r="U49" i="1"/>
  <c r="AC49" i="1" s="1"/>
  <c r="AD186" i="1"/>
  <c r="C78" i="1"/>
  <c r="AM70" i="1"/>
  <c r="Y70" i="1"/>
  <c r="S148" i="1"/>
  <c r="AD150" i="1"/>
  <c r="C79" i="1"/>
  <c r="U54" i="1"/>
  <c r="X11" i="1"/>
  <c r="J11" i="1" s="1"/>
  <c r="F2" i="4" s="1"/>
  <c r="C144" i="1"/>
  <c r="AD185" i="1"/>
  <c r="U40" i="1"/>
  <c r="C92" i="1"/>
  <c r="C129" i="1"/>
  <c r="C145" i="1"/>
  <c r="C178" i="1"/>
  <c r="W66" i="1"/>
  <c r="V66" i="1"/>
  <c r="AH66" i="1" s="1"/>
  <c r="U109" i="1"/>
  <c r="S97" i="1" s="1"/>
  <c r="W168" i="1"/>
  <c r="V168" i="1"/>
  <c r="AH168" i="1" s="1"/>
  <c r="W87" i="1"/>
  <c r="V87" i="1" s="1"/>
  <c r="AH87" i="1" s="1"/>
  <c r="W136" i="1"/>
  <c r="V136" i="1"/>
  <c r="AH136" i="1" s="1"/>
  <c r="C180" i="1"/>
  <c r="C196" i="1"/>
  <c r="AD189" i="1" s="1"/>
  <c r="C198" i="1"/>
  <c r="W85" i="1"/>
  <c r="V85" i="1"/>
  <c r="AH85" i="1" s="1"/>
  <c r="W121" i="1"/>
  <c r="V121" i="1"/>
  <c r="AH121" i="1" s="1"/>
  <c r="AB123" i="1"/>
  <c r="AD118" i="1" s="1"/>
  <c r="W176" i="1"/>
  <c r="V176" i="1" s="1"/>
  <c r="AH176" i="1" s="1"/>
  <c r="W185" i="1"/>
  <c r="V185" i="1" s="1"/>
  <c r="AH185" i="1" s="1"/>
  <c r="W117" i="1"/>
  <c r="V117" i="1" s="1"/>
  <c r="AH117" i="1" s="1"/>
  <c r="U177" i="1"/>
  <c r="AD167" i="1" s="1"/>
  <c r="U75" i="1"/>
  <c r="AD65" i="1" s="1"/>
  <c r="V70" i="1"/>
  <c r="AH70" i="1" s="1"/>
  <c r="W74" i="1"/>
  <c r="V74" i="1" s="1"/>
  <c r="AH74" i="1" s="1"/>
  <c r="W157" i="1"/>
  <c r="V157" i="1" s="1"/>
  <c r="AH157" i="1" s="1"/>
  <c r="V170" i="1"/>
  <c r="AH170" i="1" s="1"/>
  <c r="W172" i="1"/>
  <c r="V172" i="1"/>
  <c r="AH172" i="1" s="1"/>
  <c r="AM123" i="1"/>
  <c r="N5" i="4"/>
  <c r="T7" i="4"/>
  <c r="T6" i="4"/>
  <c r="O5" i="4"/>
  <c r="M6" i="4"/>
  <c r="S6" i="4"/>
  <c r="L5" i="4"/>
  <c r="S5" i="4"/>
  <c r="T5" i="4"/>
  <c r="M4" i="4"/>
  <c r="Q5" i="4"/>
  <c r="Q4" i="4"/>
  <c r="P4" i="4"/>
  <c r="R6" i="4"/>
  <c r="R5" i="4"/>
  <c r="P6" i="4"/>
  <c r="S4" i="4"/>
  <c r="T4" i="4"/>
  <c r="Q6" i="4"/>
  <c r="P5" i="4"/>
  <c r="L6" i="4"/>
  <c r="O6" i="4"/>
  <c r="M5" i="4"/>
  <c r="K4" i="4"/>
  <c r="P7" i="4"/>
  <c r="N6" i="4"/>
  <c r="AS19" i="1"/>
  <c r="AR19" i="1"/>
  <c r="AI17" i="1"/>
  <c r="AI18" i="1"/>
  <c r="AM16" i="1"/>
  <c r="AQ19" i="1"/>
  <c r="AJ19" i="1"/>
  <c r="AK19" i="1"/>
  <c r="AM19" i="1"/>
  <c r="AJ16" i="1"/>
  <c r="AI19" i="1"/>
  <c r="AL19" i="1"/>
  <c r="AL16" i="1"/>
  <c r="AR16" i="1"/>
  <c r="AD15" i="1" l="1"/>
  <c r="R4" i="4"/>
  <c r="K6" i="4"/>
  <c r="L7" i="4"/>
  <c r="K5" i="4"/>
  <c r="N4" i="4"/>
  <c r="L4" i="4"/>
  <c r="Q7" i="4"/>
  <c r="R7" i="4"/>
  <c r="N7" i="4"/>
  <c r="O7" i="4"/>
  <c r="O4" i="4"/>
  <c r="S7" i="4"/>
  <c r="K7" i="4"/>
  <c r="M7" i="4"/>
  <c r="AI155" i="1"/>
  <c r="AI151" i="1"/>
  <c r="AI153" i="1"/>
  <c r="AI121" i="1"/>
  <c r="AI117" i="1"/>
  <c r="AI119" i="1"/>
  <c r="AI189" i="1"/>
  <c r="AI187" i="1"/>
  <c r="AI185" i="1"/>
  <c r="AI85" i="1"/>
  <c r="AD137" i="1"/>
  <c r="AD138" i="1"/>
  <c r="AD104" i="1"/>
  <c r="AD103" i="1"/>
  <c r="AA174" i="1"/>
  <c r="AD168" i="1" s="1"/>
  <c r="AO21" i="1"/>
  <c r="AI134" i="1"/>
  <c r="AI136" i="1"/>
  <c r="C106" i="1"/>
  <c r="D18" i="1" s="1"/>
  <c r="C107" i="1"/>
  <c r="E18" i="1" s="1"/>
  <c r="D6" i="4" s="1"/>
  <c r="AD86" i="1"/>
  <c r="AD87" i="1"/>
  <c r="C158" i="1"/>
  <c r="E21" i="1" s="1"/>
  <c r="D9" i="4" s="1"/>
  <c r="C157" i="1"/>
  <c r="D21" i="1" s="1"/>
  <c r="AD70" i="1"/>
  <c r="C123" i="1"/>
  <c r="D19" i="1" s="1"/>
  <c r="C124" i="1"/>
  <c r="E19" i="1" s="1"/>
  <c r="D7" i="4" s="1"/>
  <c r="AD69" i="1"/>
  <c r="AD32" i="1"/>
  <c r="AC33" i="1"/>
  <c r="AD171" i="1"/>
  <c r="AD172" i="1"/>
  <c r="AC40" i="1"/>
  <c r="AD39" i="1"/>
  <c r="S165" i="1"/>
  <c r="AC54" i="1"/>
  <c r="AD53" i="1"/>
  <c r="AD120" i="1"/>
  <c r="AD121" i="1"/>
  <c r="AD117" i="1"/>
  <c r="AJ100" i="1"/>
  <c r="AK100" i="1"/>
  <c r="AK106" i="1" s="1"/>
  <c r="G18" i="1" s="1"/>
  <c r="F6" i="4" s="1"/>
  <c r="AC47" i="1"/>
  <c r="AD46" i="1"/>
  <c r="AD99" i="1"/>
  <c r="AI87" i="1"/>
  <c r="AI83" i="1"/>
  <c r="AI138" i="1"/>
  <c r="AI172" i="1"/>
  <c r="AI168" i="1"/>
  <c r="AI170" i="1"/>
  <c r="AI68" i="1"/>
  <c r="AI70" i="1"/>
  <c r="AI66" i="1"/>
  <c r="AD188" i="1"/>
  <c r="Y72" i="1"/>
  <c r="Y74" i="1" s="1"/>
  <c r="AA74" i="1" s="1"/>
  <c r="AA72" i="1"/>
  <c r="AD66" i="1" s="1"/>
  <c r="S63" i="1"/>
  <c r="AJ102" i="1"/>
  <c r="AK102" i="1"/>
  <c r="AL102" i="1" s="1"/>
  <c r="I17" i="1"/>
  <c r="H5" i="4" s="1"/>
  <c r="C5" i="4"/>
  <c r="AR20" i="1"/>
  <c r="AT20" i="1"/>
  <c r="AM20" i="1"/>
  <c r="AL20" i="1"/>
  <c r="AP20" i="1"/>
  <c r="AJ20" i="1"/>
  <c r="AK20" i="1"/>
  <c r="AI20" i="1"/>
  <c r="AS20" i="1"/>
  <c r="AQ20" i="1"/>
  <c r="P8" i="4" l="1"/>
  <c r="O8" i="4"/>
  <c r="K8" i="4"/>
  <c r="M8" i="4"/>
  <c r="Q8" i="4"/>
  <c r="T8" i="4"/>
  <c r="S8" i="4"/>
  <c r="L8" i="4"/>
  <c r="N8" i="4"/>
  <c r="R8" i="4"/>
  <c r="AJ66" i="1"/>
  <c r="AJ72" i="1" s="1"/>
  <c r="H16" i="1" s="1"/>
  <c r="AK66" i="1"/>
  <c r="AL66" i="1" s="1"/>
  <c r="AK85" i="1"/>
  <c r="AL85" i="1"/>
  <c r="AJ85" i="1"/>
  <c r="AJ70" i="1"/>
  <c r="AK70" i="1"/>
  <c r="AL70" i="1"/>
  <c r="AK172" i="1"/>
  <c r="AL172" i="1" s="1"/>
  <c r="AJ172" i="1"/>
  <c r="AL100" i="1"/>
  <c r="AL106" i="1" s="1"/>
  <c r="F18" i="1" s="1"/>
  <c r="E6" i="4" s="1"/>
  <c r="I19" i="1"/>
  <c r="H7" i="4" s="1"/>
  <c r="C7" i="4"/>
  <c r="AK136" i="1"/>
  <c r="AL136" i="1" s="1"/>
  <c r="AJ136" i="1"/>
  <c r="AJ185" i="1"/>
  <c r="AK185" i="1"/>
  <c r="AK191" i="1" s="1"/>
  <c r="G23" i="1" s="1"/>
  <c r="F11" i="4" s="1"/>
  <c r="AJ117" i="1"/>
  <c r="AK117" i="1"/>
  <c r="AL155" i="1"/>
  <c r="AK155" i="1"/>
  <c r="AJ155" i="1"/>
  <c r="C72" i="1"/>
  <c r="D16" i="1" s="1"/>
  <c r="U2" i="1"/>
  <c r="C73" i="1"/>
  <c r="E16" i="1" s="1"/>
  <c r="D4" i="4" s="1"/>
  <c r="AK87" i="1"/>
  <c r="AL87" i="1" s="1"/>
  <c r="AJ87" i="1"/>
  <c r="I18" i="1"/>
  <c r="H6" i="4" s="1"/>
  <c r="C6" i="4"/>
  <c r="AK119" i="1"/>
  <c r="AL119" i="1"/>
  <c r="AJ119" i="1"/>
  <c r="AJ68" i="1"/>
  <c r="AK68" i="1"/>
  <c r="AL68" i="1" s="1"/>
  <c r="AK138" i="1"/>
  <c r="AJ138" i="1"/>
  <c r="AL138" i="1"/>
  <c r="AJ106" i="1"/>
  <c r="H18" i="1" s="1"/>
  <c r="G6" i="4" s="1"/>
  <c r="AK134" i="1"/>
  <c r="AL134" i="1" s="1"/>
  <c r="AJ134" i="1"/>
  <c r="AJ140" i="1" s="1"/>
  <c r="H20" i="1" s="1"/>
  <c r="G8" i="4" s="1"/>
  <c r="AO22" i="1"/>
  <c r="AK187" i="1"/>
  <c r="AL187" i="1"/>
  <c r="AJ187" i="1"/>
  <c r="AJ121" i="1"/>
  <c r="AK121" i="1"/>
  <c r="AL121" i="1"/>
  <c r="AK168" i="1"/>
  <c r="AK174" i="1" s="1"/>
  <c r="G22" i="1" s="1"/>
  <c r="F10" i="4" s="1"/>
  <c r="AJ168" i="1"/>
  <c r="AL168" i="1"/>
  <c r="C174" i="1"/>
  <c r="D22" i="1" s="1"/>
  <c r="C175" i="1"/>
  <c r="E22" i="1" s="1"/>
  <c r="D10" i="4" s="1"/>
  <c r="AJ151" i="1"/>
  <c r="AK151" i="1"/>
  <c r="AK157" i="1" s="1"/>
  <c r="G21" i="1" s="1"/>
  <c r="F9" i="4" s="1"/>
  <c r="AL170" i="1"/>
  <c r="AK170" i="1"/>
  <c r="AJ170" i="1"/>
  <c r="AL83" i="1"/>
  <c r="AJ83" i="1"/>
  <c r="AK83" i="1"/>
  <c r="AK89" i="1" s="1"/>
  <c r="G17" i="1" s="1"/>
  <c r="F5" i="4" s="1"/>
  <c r="I21" i="1"/>
  <c r="H9" i="4" s="1"/>
  <c r="C9" i="4"/>
  <c r="AJ189" i="1"/>
  <c r="AK189" i="1"/>
  <c r="AL189" i="1" s="1"/>
  <c r="AJ153" i="1"/>
  <c r="AL153" i="1" s="1"/>
  <c r="AK153" i="1"/>
  <c r="AR21" i="1"/>
  <c r="AJ21" i="1"/>
  <c r="AI21" i="1"/>
  <c r="AK21" i="1"/>
  <c r="AM21" i="1"/>
  <c r="AQ21" i="1"/>
  <c r="AP21" i="1"/>
  <c r="AL21" i="1"/>
  <c r="AS21" i="1"/>
  <c r="AT21" i="1"/>
  <c r="T9" i="4" l="1"/>
  <c r="S9" i="4"/>
  <c r="N9" i="4"/>
  <c r="M9" i="4"/>
  <c r="K9" i="4"/>
  <c r="L9" i="4"/>
  <c r="P9" i="4"/>
  <c r="Q9" i="4"/>
  <c r="O9" i="4"/>
  <c r="R9" i="4"/>
  <c r="AL72" i="1"/>
  <c r="F16" i="1" s="1"/>
  <c r="AL140" i="1"/>
  <c r="F20" i="1" s="1"/>
  <c r="E8" i="4" s="1"/>
  <c r="AL89" i="1"/>
  <c r="F17" i="1" s="1"/>
  <c r="E5" i="4" s="1"/>
  <c r="N18" i="1"/>
  <c r="M18" i="1"/>
  <c r="G4" i="4"/>
  <c r="AL151" i="1"/>
  <c r="AL157" i="1" s="1"/>
  <c r="F21" i="1" s="1"/>
  <c r="E9" i="4" s="1"/>
  <c r="V9" i="1"/>
  <c r="I9" i="1" s="1"/>
  <c r="C4" i="4"/>
  <c r="V11" i="1"/>
  <c r="I11" i="1" s="1"/>
  <c r="D2" i="4" s="1"/>
  <c r="I16" i="1"/>
  <c r="H4" i="4" s="1"/>
  <c r="AK123" i="1"/>
  <c r="G19" i="1" s="1"/>
  <c r="F7" i="4" s="1"/>
  <c r="AL185" i="1"/>
  <c r="AL191" i="1" s="1"/>
  <c r="F23" i="1" s="1"/>
  <c r="E11" i="4" s="1"/>
  <c r="AL174" i="1"/>
  <c r="F22" i="1" s="1"/>
  <c r="E10" i="4" s="1"/>
  <c r="AO23" i="1"/>
  <c r="AJ157" i="1"/>
  <c r="H21" i="1" s="1"/>
  <c r="G9" i="4" s="1"/>
  <c r="AJ174" i="1"/>
  <c r="H22" i="1" s="1"/>
  <c r="G10" i="4" s="1"/>
  <c r="AL117" i="1"/>
  <c r="AL123" i="1" s="1"/>
  <c r="F19" i="1" s="1"/>
  <c r="E7" i="4" s="1"/>
  <c r="AJ191" i="1"/>
  <c r="H23" i="1" s="1"/>
  <c r="G11" i="4" s="1"/>
  <c r="I22" i="1"/>
  <c r="H10" i="4" s="1"/>
  <c r="C10" i="4"/>
  <c r="AJ89" i="1"/>
  <c r="H17" i="1" s="1"/>
  <c r="G5" i="4" s="1"/>
  <c r="AK140" i="1"/>
  <c r="G20" i="1" s="1"/>
  <c r="F8" i="4" s="1"/>
  <c r="AJ123" i="1"/>
  <c r="H19" i="1" s="1"/>
  <c r="G7" i="4" s="1"/>
  <c r="AK72" i="1"/>
  <c r="G16" i="1" s="1"/>
  <c r="AM22" i="1"/>
  <c r="AK22" i="1"/>
  <c r="AS22" i="1"/>
  <c r="AR22" i="1"/>
  <c r="AI22" i="1"/>
  <c r="AJ22" i="1"/>
  <c r="AL22" i="1"/>
  <c r="AT22" i="1"/>
  <c r="AP22" i="1"/>
  <c r="AQ22" i="1"/>
  <c r="S10" i="4" l="1"/>
  <c r="Q10" i="4"/>
  <c r="N10" i="4"/>
  <c r="K10" i="4"/>
  <c r="M10" i="4"/>
  <c r="P10" i="4"/>
  <c r="L10" i="4"/>
  <c r="R10" i="4"/>
  <c r="O10" i="4"/>
  <c r="T10" i="4"/>
  <c r="AD190" i="1"/>
  <c r="U18" i="1" s="1"/>
  <c r="N20" i="1" s="1"/>
  <c r="C2" i="4"/>
  <c r="E4" i="4"/>
  <c r="F26" i="1"/>
  <c r="F4" i="4"/>
  <c r="G26" i="1"/>
  <c r="AO24" i="1"/>
  <c r="AO25" i="1" s="1"/>
  <c r="H26" i="1"/>
  <c r="AP23" i="1"/>
  <c r="AR23" i="1"/>
  <c r="AS23" i="1"/>
  <c r="AM23" i="1"/>
  <c r="AT23" i="1"/>
  <c r="AJ23" i="1"/>
  <c r="AI23" i="1"/>
  <c r="AQ23" i="1"/>
  <c r="AK23" i="1"/>
  <c r="AL23" i="1"/>
  <c r="K11" i="4" l="1"/>
  <c r="T11" i="4"/>
  <c r="L11" i="4"/>
  <c r="R11" i="4"/>
  <c r="N11" i="4"/>
  <c r="O11" i="4"/>
  <c r="S11" i="4"/>
  <c r="P11" i="4"/>
  <c r="M11" i="4"/>
  <c r="Q11" i="4"/>
  <c r="I26" i="1"/>
  <c r="G2" i="4" s="1"/>
</calcChain>
</file>

<file path=xl/sharedStrings.xml><?xml version="1.0" encoding="utf-8"?>
<sst xmlns="http://schemas.openxmlformats.org/spreadsheetml/2006/main" count="450" uniqueCount="170">
  <si>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</si>
  <si>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</si>
  <si>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</si>
  <si>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</si>
  <si>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</si>
  <si>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</si>
  <si>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</si>
  <si>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</si>
  <si>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</si>
  <si>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</si>
  <si>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</si>
  <si>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</si>
  <si>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</si>
  <si>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</si>
  <si>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</si>
  <si>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</si>
  <si>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</si>
  <si>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</si>
  <si>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</si>
  <si>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</si>
  <si>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</si>
  <si>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</si>
  <si>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</si>
  <si>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</si>
  <si>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</si>
  <si>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LOST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</si>
  <si>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</si>
  <si>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</si>
  <si>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</si>
  <si>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</si>
  <si>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</si>
  <si>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</si>
  <si>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</si>
  <si>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</si>
  <si>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</si>
  <si>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</si>
  <si>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</si>
  <si>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</si>
  <si>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</si>
  <si>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</si>
  <si>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</si>
  <si>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</si>
  <si>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</si>
  <si>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</si>
  <si>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</si>
  <si>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</si>
  <si>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</si>
  <si>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</si>
  <si>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</si>
  <si>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</si>
  <si>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</si>
  <si>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</si>
  <si>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</si>
  <si>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</si>
  <si>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</si>
  <si>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</si>
  <si>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</si>
  <si>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</si>
  <si>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</si>
  <si>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</si>
  <si>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</si>
  <si>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</si>
  <si>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</si>
  <si>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</si>
  <si>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</si>
  <si>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</si>
  <si>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</si>
  <si>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</si>
  <si>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</si>
  <si>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</si>
  <si>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</si>
  <si>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</si>
  <si>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</si>
  <si>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</si>
  <si>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</si>
  <si>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</si>
  <si>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</si>
  <si>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</si>
  <si>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</si>
  <si>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</si>
  <si>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</si>
  <si>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</si>
  <si>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</si>
  <si>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</si>
  <si>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</si>
  <si>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</si>
  <si>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</si>
  <si>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</si>
  <si>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</si>
  <si>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</si>
  <si>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</si>
  <si>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</si>
  <si>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</si>
  <si>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</si>
  <si>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</si>
  <si>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</si>
  <si>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</si>
  <si>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</si>
  <si>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</si>
  <si>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</si>
  <si>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</si>
  <si>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</si>
  <si>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</si>
  <si>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</si>
  <si>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</si>
  <si>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</si>
  <si>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</si>
  <si>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</si>
  <si>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</si>
  <si>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</si>
  <si>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</si>
  <si>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</si>
  <si>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</si>
  <si>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</si>
  <si>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</si>
  <si>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</si>
  <si>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</si>
  <si>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</si>
  <si>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</si>
  <si>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</si>
  <si>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</si>
  <si>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</si>
  <si>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</si>
  <si>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</si>
  <si>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</si>
  <si>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</si>
  <si>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</si>
  <si>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</si>
  <si>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</si>
  <si>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</si>
  <si>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</si>
  <si>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</si>
  <si>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</si>
  <si>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</si>
  <si>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</si>
  <si>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</si>
  <si>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</si>
  <si>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</si>
  <si>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</si>
  <si>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</si>
  <si>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</si>
  <si>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</si>
  <si>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</si>
  <si>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</si>
  <si>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Victoria Club</t>
  </si>
  <si>
    <t>All Saints</t>
  </si>
  <si>
    <t>Player 2</t>
  </si>
  <si>
    <t>Send result sheets to</t>
  </si>
  <si>
    <t>Sunbury BL 'B'</t>
  </si>
  <si>
    <t>WPBL</t>
  </si>
  <si>
    <t>Results not received by end of</t>
  </si>
  <si>
    <t>Wednesday will incur a £10 fine.</t>
  </si>
  <si>
    <t>West Byfleet</t>
  </si>
  <si>
    <t>The Farmers</t>
  </si>
  <si>
    <t>Epsom Cons</t>
  </si>
  <si>
    <t>surreysuperleague@gmail.com</t>
  </si>
  <si>
    <t>Belmont Cons</t>
  </si>
  <si>
    <t>Walton WMC</t>
  </si>
  <si>
    <t>Sunbury BL 'A'</t>
  </si>
  <si>
    <t>2016/2017 Season</t>
  </si>
  <si>
    <t>Computer Score Sheet - V9</t>
  </si>
  <si>
    <t>St Peter's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</si>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</sst>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0" xfId="0" applyFont="1" applyFill="1" applyBorder="1"/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Border="1" applyProtection="1">
      <protection hidden="1"/>
    </xf>
    <xf numFmtId="1" fontId="0" fillId="23" borderId="0" xfId="0" applyNumberFormat="1" applyFill="1" applyBorder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Border="1" applyProtection="1">
      <protection locked="0"/>
    </xf>
    <xf numFmtId="2" fontId="0" fillId="23" borderId="0" xfId="0" applyNumberFormat="1" applyFill="1" applyBorder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</cellXfs>
  <cellStyles count="3">
    <cellStyle name="Hyperlink" xfId="1" builtinId="8"/>
    <cellStyle name="Normal" xfId="0" builtinId="0"/>
    <cellStyle name="Normal 2" xfId="2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12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12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8</xdr:row>
          <xdr:rowOff>0</xdr:rowOff>
        </xdr:from>
        <xdr:to>
          <xdr:col>7</xdr:col>
          <xdr:colOff>0</xdr:colOff>
          <xdr:row>8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reysuperleag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T198"/>
  <sheetViews>
    <sheetView showGridLines="0" tabSelected="1" zoomScaleNormal="100" workbookViewId="0"/>
  </sheetViews>
  <sheetFormatPr defaultColWidth="9.125" defaultRowHeight="14.25" x14ac:dyDescent="0.2"/>
  <cols>
    <col min="1" max="1" width="1.25" style="2" customWidth="1"/>
    <col min="2" max="2" width="4.25" style="2" customWidth="1"/>
    <col min="3" max="3" width="19.875" style="2" customWidth="1"/>
    <col min="4" max="19" width="4.875" style="2" customWidth="1"/>
    <col min="20" max="20" width="9.125" style="2" hidden="1" customWidth="1"/>
    <col min="21" max="21" width="5.625" style="2" hidden="1" customWidth="1"/>
    <col min="22" max="22" width="4" style="2" hidden="1" customWidth="1"/>
    <col min="23" max="23" width="4.25" style="2" hidden="1" customWidth="1"/>
    <col min="24" max="24" width="4.125" style="2" hidden="1" customWidth="1"/>
    <col min="25" max="25" width="4.25" style="2" hidden="1" customWidth="1"/>
    <col min="26" max="26" width="3.875" style="2" hidden="1" customWidth="1"/>
    <col min="27" max="27" width="3.75" style="2" hidden="1" customWidth="1"/>
    <col min="28" max="28" width="5.75" style="2" hidden="1" customWidth="1"/>
    <col min="29" max="29" width="3.75" style="2" hidden="1" customWidth="1"/>
    <col min="30" max="30" width="3.125" style="2" hidden="1" customWidth="1"/>
    <col min="31" max="31" width="20.625" style="2" hidden="1" customWidth="1"/>
    <col min="32" max="32" width="24" style="2" hidden="1" customWidth="1"/>
    <col min="33" max="46" width="9.125" style="2" hidden="1" customWidth="1"/>
    <col min="47" max="16384" width="9.125" style="2"/>
  </cols>
  <sheetData>
    <row r="1" spans="1:46" x14ac:dyDescent="0.2">
      <c r="A1" s="67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29.25" customHeight="1" x14ac:dyDescent="0.2"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2" t="s">
        <v>13</v>
      </c>
      <c r="U2" s="92">
        <f>IF(SUM(O32,O39,O46,O53,S63,S80,S97,S114,S131,S148,S165,S182)=12,1,0)</f>
        <v>0</v>
      </c>
      <c r="V2" s="92"/>
      <c r="W2" s="92"/>
      <c r="X2" s="92"/>
      <c r="Y2" s="92"/>
      <c r="Z2" s="92"/>
      <c r="AA2" s="92"/>
      <c r="AB2" s="92"/>
      <c r="AC2" s="92"/>
      <c r="AD2" s="93"/>
      <c r="AE2" s="93" t="s">
        <v>14</v>
      </c>
      <c r="AF2" s="92" t="s">
        <v>77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0.75" customHeight="1" x14ac:dyDescent="0.2">
      <c r="D3" s="51"/>
      <c r="E3" s="53"/>
      <c r="F3" s="41"/>
      <c r="G3" s="40"/>
      <c r="H3" s="42"/>
      <c r="I3" s="44"/>
      <c r="J3" s="54"/>
      <c r="K3" s="43"/>
      <c r="L3" s="45"/>
      <c r="M3" s="52"/>
      <c r="N3" s="39"/>
      <c r="O3" s="46"/>
      <c r="P3" s="50"/>
      <c r="Q3" s="47"/>
      <c r="R3" s="48"/>
      <c r="S3" s="49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</row>
    <row r="4" spans="1:46" ht="18" x14ac:dyDescent="0.25">
      <c r="D4" s="100" t="s">
        <v>159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</row>
    <row r="5" spans="1:46" ht="15" x14ac:dyDescent="0.25">
      <c r="D5" s="95" t="str">
        <f ca="1">IF(AND(YEAR(NOW())&gt;2015,MONTH(NOW())&gt;8),"STOP - YOU ARE USING LAST YEAR'S SPREADSHEET!","")</f>
        <v/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</row>
    <row r="6" spans="1:46" x14ac:dyDescent="0.2">
      <c r="D6" s="2" t="s">
        <v>160</v>
      </c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x14ac:dyDescent="0.2">
      <c r="D7" s="118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</row>
    <row r="8" spans="1:46" ht="15" thickBot="1" x14ac:dyDescent="0.25">
      <c r="I8" s="14" t="s">
        <v>57</v>
      </c>
      <c r="J8" s="14" t="s">
        <v>56</v>
      </c>
      <c r="K8" s="14"/>
      <c r="L8" s="13"/>
      <c r="M8" s="76"/>
      <c r="T8" s="92"/>
      <c r="U8" s="92"/>
      <c r="V8" s="92" t="s">
        <v>78</v>
      </c>
      <c r="W8" s="92" t="s">
        <v>79</v>
      </c>
      <c r="X8" s="92" t="s">
        <v>80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ht="15" x14ac:dyDescent="0.2">
      <c r="C9" s="2" t="s">
        <v>1</v>
      </c>
      <c r="I9" s="96">
        <f>V9+W9</f>
        <v>0</v>
      </c>
      <c r="J9" s="74">
        <f>W9+X9</f>
        <v>0</v>
      </c>
      <c r="L9" s="12"/>
      <c r="M9" s="3" t="s">
        <v>147</v>
      </c>
      <c r="N9" s="4"/>
      <c r="O9" s="4"/>
      <c r="P9" s="4"/>
      <c r="Q9" s="4"/>
      <c r="R9" s="4"/>
      <c r="S9" s="5"/>
      <c r="T9" s="92"/>
      <c r="U9" s="92"/>
      <c r="V9" s="92">
        <f>COUNTIF(D16:D25,"WON")</f>
        <v>0</v>
      </c>
      <c r="W9" s="92">
        <f>COUNTIF(N32:N53,"WON")</f>
        <v>0</v>
      </c>
      <c r="X9" s="92">
        <f>COUNTIF(B66:B193,"&lt;4")</f>
        <v>0</v>
      </c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ht="15" x14ac:dyDescent="0.25">
      <c r="I10" s="18"/>
      <c r="J10" s="74"/>
      <c r="L10" s="12"/>
      <c r="M10" s="77" t="s">
        <v>155</v>
      </c>
      <c r="N10" s="6"/>
      <c r="O10" s="6"/>
      <c r="P10" s="6"/>
      <c r="Q10" s="6"/>
      <c r="R10" s="6"/>
      <c r="S10" s="7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ht="15" x14ac:dyDescent="0.2">
      <c r="C11" s="2" t="s">
        <v>2</v>
      </c>
      <c r="I11" s="96">
        <f>V11+W11</f>
        <v>0</v>
      </c>
      <c r="J11" s="74">
        <f>W11+X11</f>
        <v>0</v>
      </c>
      <c r="L11" s="12"/>
      <c r="M11" s="8"/>
      <c r="N11" s="6"/>
      <c r="O11" s="6"/>
      <c r="P11" s="6"/>
      <c r="Q11" s="6"/>
      <c r="R11" s="6"/>
      <c r="S11" s="7"/>
      <c r="T11" s="92"/>
      <c r="U11" s="92"/>
      <c r="V11" s="92">
        <f>COUNTIF(D16:D25,"LOST")</f>
        <v>0</v>
      </c>
      <c r="W11" s="92">
        <f>COUNTIF(N32:N53,"LOST")</f>
        <v>0</v>
      </c>
      <c r="X11" s="92">
        <f>COUNTIF(B66:B193,"L")</f>
        <v>0</v>
      </c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x14ac:dyDescent="0.2">
      <c r="L12" s="12"/>
      <c r="M12" s="8" t="s">
        <v>150</v>
      </c>
      <c r="N12" s="6"/>
      <c r="O12" s="6"/>
      <c r="P12" s="6"/>
      <c r="Q12" s="6"/>
      <c r="R12" s="6"/>
      <c r="S12" s="7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x14ac:dyDescent="0.2">
      <c r="C13" s="2" t="s">
        <v>3</v>
      </c>
      <c r="D13" s="103"/>
      <c r="E13" s="104"/>
      <c r="F13" s="104"/>
      <c r="G13" s="104"/>
      <c r="H13" s="104"/>
      <c r="I13" s="105"/>
      <c r="L13" s="12"/>
      <c r="M13" s="8" t="s">
        <v>151</v>
      </c>
      <c r="N13" s="6"/>
      <c r="O13" s="6"/>
      <c r="P13" s="6"/>
      <c r="Q13" s="6"/>
      <c r="R13" s="6"/>
      <c r="S13" s="7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 t="s">
        <v>103</v>
      </c>
      <c r="AQ13" s="92"/>
      <c r="AR13" s="92"/>
      <c r="AS13" s="92"/>
      <c r="AT13" s="92"/>
    </row>
    <row r="14" spans="1:46" ht="15" thickBot="1" x14ac:dyDescent="0.25">
      <c r="L14" s="12"/>
      <c r="M14" s="8"/>
      <c r="N14" s="6"/>
      <c r="O14" s="6"/>
      <c r="P14" s="6"/>
      <c r="Q14" s="6"/>
      <c r="R14" s="6"/>
      <c r="S14" s="7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3"/>
      <c r="AF14" s="92"/>
      <c r="AG14" s="92"/>
      <c r="AH14" s="92" t="s">
        <v>65</v>
      </c>
      <c r="AI14" s="92"/>
      <c r="AJ14" s="92"/>
      <c r="AK14" s="92"/>
      <c r="AL14" s="92"/>
      <c r="AM14" s="92"/>
      <c r="AN14" s="92"/>
      <c r="AO14" s="92"/>
      <c r="AP14" s="92" t="s">
        <v>95</v>
      </c>
      <c r="AQ14" s="92"/>
      <c r="AR14" s="92"/>
      <c r="AS14" s="92"/>
      <c r="AT14" s="92"/>
    </row>
    <row r="15" spans="1:46" ht="15" thickBot="1" x14ac:dyDescent="0.25">
      <c r="C15" s="11" t="s">
        <v>6</v>
      </c>
      <c r="D15" s="11" t="s">
        <v>7</v>
      </c>
      <c r="E15" s="11" t="s">
        <v>8</v>
      </c>
      <c r="F15" s="11">
        <v>100</v>
      </c>
      <c r="G15" s="11">
        <v>140</v>
      </c>
      <c r="H15" s="11">
        <v>180</v>
      </c>
      <c r="I15" s="11" t="s">
        <v>9</v>
      </c>
      <c r="L15" s="13"/>
      <c r="M15" s="60"/>
      <c r="N15" s="61"/>
      <c r="O15" s="61"/>
      <c r="P15" s="61"/>
      <c r="Q15" s="61"/>
      <c r="R15" s="61"/>
      <c r="S15" s="62"/>
      <c r="T15" s="92"/>
      <c r="U15" s="92"/>
      <c r="V15" s="92" t="s">
        <v>27</v>
      </c>
      <c r="W15" s="92"/>
      <c r="X15" s="92" t="s">
        <v>28</v>
      </c>
      <c r="Y15" s="92"/>
      <c r="Z15" s="92" t="s">
        <v>29</v>
      </c>
      <c r="AA15" s="92"/>
      <c r="AB15" s="92" t="s">
        <v>9</v>
      </c>
      <c r="AC15" s="92"/>
      <c r="AD15" s="93">
        <f>IF(SUM(AG16:AG25)=8,0,1)</f>
        <v>1</v>
      </c>
      <c r="AE15" s="93" t="s">
        <v>106</v>
      </c>
      <c r="AF15" s="92" t="s">
        <v>76</v>
      </c>
      <c r="AG15" s="92" t="s">
        <v>61</v>
      </c>
      <c r="AH15" s="92" t="s">
        <v>66</v>
      </c>
      <c r="AI15" s="92">
        <v>1</v>
      </c>
      <c r="AJ15" s="92">
        <v>2</v>
      </c>
      <c r="AK15" s="92">
        <v>3</v>
      </c>
      <c r="AL15" s="92">
        <v>4</v>
      </c>
      <c r="AM15" s="92">
        <v>5</v>
      </c>
      <c r="AN15" s="92" t="s">
        <v>82</v>
      </c>
      <c r="AO15" s="92"/>
      <c r="AP15" s="92">
        <v>1</v>
      </c>
      <c r="AQ15" s="92">
        <v>2</v>
      </c>
      <c r="AR15" s="92">
        <v>3</v>
      </c>
      <c r="AS15" s="92">
        <v>4</v>
      </c>
      <c r="AT15" s="92">
        <v>5</v>
      </c>
    </row>
    <row r="16" spans="1:46" ht="15" customHeight="1" thickBot="1" x14ac:dyDescent="0.25">
      <c r="B16" s="16">
        <v>1</v>
      </c>
      <c r="C16" s="65" t="s">
        <v>167</v>
      </c>
      <c r="D16" s="55" t="str">
        <f>C72</f>
        <v/>
      </c>
      <c r="E16" s="56" t="str">
        <f>C73</f>
        <v/>
      </c>
      <c r="F16" s="55">
        <f>ROUND(W16+AL72,0)</f>
        <v>0</v>
      </c>
      <c r="G16" s="55">
        <f>ROUND(Y16+AK72,0)</f>
        <v>0</v>
      </c>
      <c r="H16" s="55">
        <f>ROUND(AA16+AJ72,0)</f>
        <v>0</v>
      </c>
      <c r="I16" s="57">
        <f>IF(D16="WON",AC16+1,AC16)</f>
        <v>0</v>
      </c>
      <c r="M16" s="19"/>
      <c r="N16" s="108" t="s">
        <v>12</v>
      </c>
      <c r="O16" s="108"/>
      <c r="P16" s="108"/>
      <c r="Q16" s="108"/>
      <c r="R16" s="108"/>
      <c r="S16" s="21"/>
      <c r="T16" s="92"/>
      <c r="U16" s="92"/>
      <c r="V16" s="92">
        <f t="shared" ref="V16:V25" si="0">VLOOKUP($C16,$C$33:$AC$56,21,FALSE)</f>
        <v>0</v>
      </c>
      <c r="W16" s="92">
        <f>IF(ISERROR(V16),0,V16)</f>
        <v>0</v>
      </c>
      <c r="X16" s="92">
        <f t="shared" ref="X16:X25" si="1">VLOOKUP($C16,$C$33:$AC$56,23,FALSE)</f>
        <v>0</v>
      </c>
      <c r="Y16" s="92">
        <f>IF(ISERROR(X16),0,X16)</f>
        <v>0</v>
      </c>
      <c r="Z16" s="92">
        <f t="shared" ref="Z16:Z25" si="2">VLOOKUP($C16,$C$33:$AC$56,25,FALSE)</f>
        <v>0</v>
      </c>
      <c r="AA16" s="92">
        <f>IF(ISERROR(Z16),0,Z16)</f>
        <v>0</v>
      </c>
      <c r="AB16" s="92">
        <f t="shared" ref="AB16:AB25" si="3">VLOOKUP($C16,$C$33:$AC$56,27,FALSE)</f>
        <v>0</v>
      </c>
      <c r="AC16" s="92">
        <f>IF(ISERROR(AB16),0,AB16)</f>
        <v>0</v>
      </c>
      <c r="AD16" s="93">
        <f>IF(OR(AND(ISERROR(V24),NOT(ISBLANK(C24))),AND(ISERROR(V25),NOT(ISBLANK(C25)))),1,0)</f>
        <v>0</v>
      </c>
      <c r="AE16" s="93" t="s">
        <v>107</v>
      </c>
      <c r="AF16" s="92" t="s">
        <v>75</v>
      </c>
      <c r="AG16" s="92">
        <f>IF(ISERROR(V16),0,1)</f>
        <v>1</v>
      </c>
      <c r="AH16" s="92">
        <f>IF(ISERROR(AN16),0,AN16)</f>
        <v>0</v>
      </c>
      <c r="AI16" s="92">
        <f ca="1">INDIRECT("C" &amp; ($AO16+AI$15))</f>
        <v>0</v>
      </c>
      <c r="AJ16" s="92">
        <f ca="1">INDIRECT("C" &amp; ($AO16+AJ$15))</f>
        <v>0</v>
      </c>
      <c r="AK16" s="92">
        <f ca="1">INDIRECT("C" &amp; ($AO16+AK$15))</f>
        <v>0</v>
      </c>
      <c r="AL16" s="92">
        <f ca="1">INDIRECT("C" &amp; ($AO16+AL$15))</f>
        <v>0</v>
      </c>
      <c r="AM16" s="92">
        <f ca="1">INDIRECT("C" &amp; ($AO16+AM$15))</f>
        <v>0</v>
      </c>
      <c r="AN16" s="92">
        <f>VLOOKUP($C16,$C$33:$AC$56,19,FALSE)</f>
        <v>0</v>
      </c>
      <c r="AO16" s="92">
        <v>74</v>
      </c>
      <c r="AP16" s="92">
        <f ca="1">INDIRECT("AM" &amp; (($AO16-10)+(AP$15*2)))</f>
        <v>0</v>
      </c>
      <c r="AQ16" s="92">
        <f t="shared" ref="AQ16:AT23" ca="1" si="4">INDIRECT("AM" &amp; (($AO16-10)+(AQ$15*2)))</f>
        <v>0</v>
      </c>
      <c r="AR16" s="92">
        <f t="shared" ca="1" si="4"/>
        <v>0</v>
      </c>
      <c r="AS16" s="92">
        <f t="shared" ca="1" si="4"/>
        <v>0</v>
      </c>
      <c r="AT16" s="92">
        <f t="shared" ca="1" si="4"/>
        <v>0</v>
      </c>
    </row>
    <row r="17" spans="2:46" ht="15" thickBot="1" x14ac:dyDescent="0.25">
      <c r="B17" s="16">
        <v>2</v>
      </c>
      <c r="C17" s="65" t="s">
        <v>167</v>
      </c>
      <c r="D17" s="55" t="str">
        <f>C89</f>
        <v/>
      </c>
      <c r="E17" s="56" t="str">
        <f>C90</f>
        <v/>
      </c>
      <c r="F17" s="55">
        <f>ROUND(W17+AL89,0)</f>
        <v>0</v>
      </c>
      <c r="G17" s="55">
        <f>ROUND(Y17+AK89,0)</f>
        <v>0</v>
      </c>
      <c r="H17" s="55">
        <f>ROUND(AA17+AJ89,0)</f>
        <v>0</v>
      </c>
      <c r="I17" s="57">
        <f t="shared" ref="I17:I23" si="5">IF(D17="WON",AC17+1,AC17)</f>
        <v>0</v>
      </c>
      <c r="M17" s="19"/>
      <c r="N17" s="20"/>
      <c r="O17" s="20"/>
      <c r="P17" s="20"/>
      <c r="Q17" s="20"/>
      <c r="R17" s="20"/>
      <c r="S17" s="21"/>
      <c r="T17" s="92"/>
      <c r="U17" s="92"/>
      <c r="V17" s="92">
        <f t="shared" si="0"/>
        <v>0</v>
      </c>
      <c r="W17" s="92">
        <f t="shared" ref="W17:W25" si="6">IF(ISERROR(V17),0,V17)</f>
        <v>0</v>
      </c>
      <c r="X17" s="92">
        <f t="shared" si="1"/>
        <v>0</v>
      </c>
      <c r="Y17" s="92">
        <f t="shared" ref="Y17:Y25" si="7">IF(ISERROR(X17),0,X17)</f>
        <v>0</v>
      </c>
      <c r="Z17" s="92">
        <f t="shared" si="2"/>
        <v>0</v>
      </c>
      <c r="AA17" s="92">
        <f t="shared" ref="AA17:AA25" si="8">IF(ISERROR(Z17),0,Z17)</f>
        <v>0</v>
      </c>
      <c r="AB17" s="92">
        <f t="shared" si="3"/>
        <v>0</v>
      </c>
      <c r="AC17" s="92">
        <f t="shared" ref="AC17:AC25" si="9">IF(ISERROR(AB17),0,AB17)</f>
        <v>0</v>
      </c>
      <c r="AD17" s="93"/>
      <c r="AE17" s="93"/>
      <c r="AF17" s="92"/>
      <c r="AG17" s="92">
        <f t="shared" ref="AG17:AG25" si="10">IF(ISERROR(V17),0,1)</f>
        <v>1</v>
      </c>
      <c r="AH17" s="92">
        <f t="shared" ref="AH17:AH25" si="11">IF(ISERROR(AN17),0,AN17)</f>
        <v>0</v>
      </c>
      <c r="AI17" s="92">
        <f t="shared" ref="AI17:AM23" ca="1" si="12">INDIRECT("C" &amp; ($AO17+AI$15))</f>
        <v>0</v>
      </c>
      <c r="AJ17" s="92">
        <f t="shared" ca="1" si="12"/>
        <v>0</v>
      </c>
      <c r="AK17" s="92">
        <f t="shared" ca="1" si="12"/>
        <v>0</v>
      </c>
      <c r="AL17" s="92">
        <f t="shared" ca="1" si="12"/>
        <v>0</v>
      </c>
      <c r="AM17" s="92">
        <f t="shared" ca="1" si="12"/>
        <v>0</v>
      </c>
      <c r="AN17" s="92">
        <f t="shared" ref="AN17:AN25" si="13">VLOOKUP($C17,$C$33:$AC$56,19,FALSE)</f>
        <v>0</v>
      </c>
      <c r="AO17" s="92">
        <f>AO16+17</f>
        <v>91</v>
      </c>
      <c r="AP17" s="92">
        <f t="shared" ref="AP17:AP23" ca="1" si="14">INDIRECT("AM" &amp; (($AO17-10)+(AP$15*2)))</f>
        <v>0</v>
      </c>
      <c r="AQ17" s="92">
        <f t="shared" ca="1" si="4"/>
        <v>0</v>
      </c>
      <c r="AR17" s="92">
        <f t="shared" ca="1" si="4"/>
        <v>0</v>
      </c>
      <c r="AS17" s="92">
        <f t="shared" ca="1" si="4"/>
        <v>0</v>
      </c>
      <c r="AT17" s="92">
        <f t="shared" ca="1" si="4"/>
        <v>0</v>
      </c>
    </row>
    <row r="18" spans="2:46" ht="15" thickBot="1" x14ac:dyDescent="0.25">
      <c r="B18" s="16">
        <v>3</v>
      </c>
      <c r="C18" s="65" t="s">
        <v>167</v>
      </c>
      <c r="D18" s="55" t="str">
        <f>C106</f>
        <v/>
      </c>
      <c r="E18" s="56" t="str">
        <f>C107</f>
        <v/>
      </c>
      <c r="F18" s="55">
        <f>ROUND(W18+AL106,0)</f>
        <v>0</v>
      </c>
      <c r="G18" s="55">
        <f>ROUND(Y18+AK106,0)</f>
        <v>0</v>
      </c>
      <c r="H18" s="55">
        <f>ROUND(AA18+AJ106,0)</f>
        <v>0</v>
      </c>
      <c r="I18" s="57">
        <f t="shared" si="5"/>
        <v>0</v>
      </c>
      <c r="M18" s="106" t="str">
        <f>IF(U2,IF(U18=1,"C","D"),"")</f>
        <v/>
      </c>
      <c r="N18" s="107" t="str">
        <f>IF(U2=1,IF(U18=1,"Sheet is OK to submit.","Sheet contains errors, please check."),"Sheet not yet complete.")</f>
        <v>Sheet not yet complete.</v>
      </c>
      <c r="O18" s="107"/>
      <c r="P18" s="107"/>
      <c r="Q18" s="107"/>
      <c r="R18" s="107"/>
      <c r="S18" s="21"/>
      <c r="T18" s="92" t="s">
        <v>14</v>
      </c>
      <c r="U18" s="92">
        <f>IF(SUM(AD4:AD193)&gt;0,0,1)</f>
        <v>0</v>
      </c>
      <c r="V18" s="92">
        <f t="shared" si="0"/>
        <v>0</v>
      </c>
      <c r="W18" s="92">
        <f t="shared" si="6"/>
        <v>0</v>
      </c>
      <c r="X18" s="92">
        <f t="shared" si="1"/>
        <v>0</v>
      </c>
      <c r="Y18" s="92">
        <f t="shared" si="7"/>
        <v>0</v>
      </c>
      <c r="Z18" s="92">
        <f t="shared" si="2"/>
        <v>0</v>
      </c>
      <c r="AA18" s="92">
        <f t="shared" si="8"/>
        <v>0</v>
      </c>
      <c r="AB18" s="92">
        <f t="shared" si="3"/>
        <v>0</v>
      </c>
      <c r="AC18" s="92">
        <f t="shared" si="9"/>
        <v>0</v>
      </c>
      <c r="AD18" s="93"/>
      <c r="AE18" s="93"/>
      <c r="AF18" s="92"/>
      <c r="AG18" s="92">
        <f t="shared" si="10"/>
        <v>1</v>
      </c>
      <c r="AH18" s="92">
        <f t="shared" si="11"/>
        <v>0</v>
      </c>
      <c r="AI18" s="92">
        <f t="shared" ca="1" si="12"/>
        <v>0</v>
      </c>
      <c r="AJ18" s="92">
        <f t="shared" ca="1" si="12"/>
        <v>0</v>
      </c>
      <c r="AK18" s="92">
        <f t="shared" ca="1" si="12"/>
        <v>0</v>
      </c>
      <c r="AL18" s="92">
        <f t="shared" ca="1" si="12"/>
        <v>0</v>
      </c>
      <c r="AM18" s="92">
        <f t="shared" ca="1" si="12"/>
        <v>0</v>
      </c>
      <c r="AN18" s="92">
        <f t="shared" si="13"/>
        <v>0</v>
      </c>
      <c r="AO18" s="92">
        <f t="shared" ref="AO18:AO25" si="15">AO17+17</f>
        <v>108</v>
      </c>
      <c r="AP18" s="92">
        <f t="shared" ca="1" si="14"/>
        <v>0</v>
      </c>
      <c r="AQ18" s="92">
        <f t="shared" ca="1" si="4"/>
        <v>0</v>
      </c>
      <c r="AR18" s="92">
        <f t="shared" ca="1" si="4"/>
        <v>0</v>
      </c>
      <c r="AS18" s="92">
        <f t="shared" ca="1" si="4"/>
        <v>0</v>
      </c>
      <c r="AT18" s="92">
        <f t="shared" ca="1" si="4"/>
        <v>0</v>
      </c>
    </row>
    <row r="19" spans="2:46" ht="15" thickBot="1" x14ac:dyDescent="0.25">
      <c r="B19" s="16">
        <v>4</v>
      </c>
      <c r="C19" s="65" t="s">
        <v>167</v>
      </c>
      <c r="D19" s="55" t="str">
        <f>C123</f>
        <v/>
      </c>
      <c r="E19" s="56" t="str">
        <f>C124</f>
        <v/>
      </c>
      <c r="F19" s="55">
        <f>ROUND(W19+AL123,0)</f>
        <v>0</v>
      </c>
      <c r="G19" s="55">
        <f>ROUND(Y19+AK123,0)</f>
        <v>0</v>
      </c>
      <c r="H19" s="55">
        <f>ROUND(AA19+AJ123,0)</f>
        <v>0</v>
      </c>
      <c r="I19" s="57">
        <f t="shared" si="5"/>
        <v>0</v>
      </c>
      <c r="M19" s="106"/>
      <c r="N19" s="107"/>
      <c r="O19" s="107"/>
      <c r="P19" s="107"/>
      <c r="Q19" s="107"/>
      <c r="R19" s="107"/>
      <c r="S19" s="21"/>
      <c r="T19" s="92"/>
      <c r="U19" s="92"/>
      <c r="V19" s="92">
        <f t="shared" si="0"/>
        <v>0</v>
      </c>
      <c r="W19" s="92">
        <f t="shared" si="6"/>
        <v>0</v>
      </c>
      <c r="X19" s="92">
        <f t="shared" si="1"/>
        <v>0</v>
      </c>
      <c r="Y19" s="92">
        <f t="shared" si="7"/>
        <v>0</v>
      </c>
      <c r="Z19" s="92">
        <f t="shared" si="2"/>
        <v>0</v>
      </c>
      <c r="AA19" s="92">
        <f t="shared" si="8"/>
        <v>0</v>
      </c>
      <c r="AB19" s="92">
        <f t="shared" si="3"/>
        <v>0</v>
      </c>
      <c r="AC19" s="92">
        <f t="shared" si="9"/>
        <v>0</v>
      </c>
      <c r="AD19" s="93"/>
      <c r="AE19" s="93"/>
      <c r="AF19" s="92"/>
      <c r="AG19" s="92">
        <f t="shared" si="10"/>
        <v>1</v>
      </c>
      <c r="AH19" s="92">
        <f t="shared" si="11"/>
        <v>0</v>
      </c>
      <c r="AI19" s="92">
        <f t="shared" ca="1" si="12"/>
        <v>0</v>
      </c>
      <c r="AJ19" s="92">
        <f t="shared" ca="1" si="12"/>
        <v>0</v>
      </c>
      <c r="AK19" s="92">
        <f t="shared" ca="1" si="12"/>
        <v>0</v>
      </c>
      <c r="AL19" s="92">
        <f t="shared" ca="1" si="12"/>
        <v>0</v>
      </c>
      <c r="AM19" s="92">
        <f t="shared" ca="1" si="12"/>
        <v>0</v>
      </c>
      <c r="AN19" s="92">
        <f t="shared" si="13"/>
        <v>0</v>
      </c>
      <c r="AO19" s="92">
        <f t="shared" si="15"/>
        <v>125</v>
      </c>
      <c r="AP19" s="92">
        <f t="shared" ca="1" si="14"/>
        <v>0</v>
      </c>
      <c r="AQ19" s="92">
        <f t="shared" ca="1" si="4"/>
        <v>0</v>
      </c>
      <c r="AR19" s="92">
        <f t="shared" ca="1" si="4"/>
        <v>0</v>
      </c>
      <c r="AS19" s="92">
        <f t="shared" ca="1" si="4"/>
        <v>0</v>
      </c>
      <c r="AT19" s="92">
        <f t="shared" ca="1" si="4"/>
        <v>0</v>
      </c>
    </row>
    <row r="20" spans="2:46" ht="15" thickBot="1" x14ac:dyDescent="0.25">
      <c r="B20" s="16">
        <v>5</v>
      </c>
      <c r="C20" s="65"/>
      <c r="D20" s="55" t="str">
        <f>C140</f>
        <v/>
      </c>
      <c r="E20" s="56" t="str">
        <f>C141</f>
        <v/>
      </c>
      <c r="F20" s="55">
        <f>ROUND(W20+AL140,0)</f>
        <v>0</v>
      </c>
      <c r="G20" s="55">
        <f>ROUND(Y20+AK140,0)</f>
        <v>0</v>
      </c>
      <c r="H20" s="55">
        <f>ROUND(AA20+AJ140,0)</f>
        <v>0</v>
      </c>
      <c r="I20" s="57">
        <f t="shared" si="5"/>
        <v>0</v>
      </c>
      <c r="M20" s="19"/>
      <c r="N20" s="97" t="str">
        <f>IF(AND(U18=0,U2=1),VLOOKUP(1,AD4:AE193,2,FALSE),"")</f>
        <v/>
      </c>
      <c r="O20" s="97"/>
      <c r="P20" s="97"/>
      <c r="Q20" s="97"/>
      <c r="R20" s="97"/>
      <c r="S20" s="21"/>
      <c r="T20" s="92"/>
      <c r="U20" s="92"/>
      <c r="V20" s="92" t="e">
        <f t="shared" si="0"/>
        <v>#N/A</v>
      </c>
      <c r="W20" s="92">
        <f t="shared" si="6"/>
        <v>0</v>
      </c>
      <c r="X20" s="92" t="e">
        <f t="shared" si="1"/>
        <v>#N/A</v>
      </c>
      <c r="Y20" s="92">
        <f t="shared" si="7"/>
        <v>0</v>
      </c>
      <c r="Z20" s="92" t="e">
        <f t="shared" si="2"/>
        <v>#N/A</v>
      </c>
      <c r="AA20" s="92">
        <f t="shared" si="8"/>
        <v>0</v>
      </c>
      <c r="AB20" s="92" t="e">
        <f t="shared" si="3"/>
        <v>#N/A</v>
      </c>
      <c r="AC20" s="92">
        <f t="shared" si="9"/>
        <v>0</v>
      </c>
      <c r="AD20" s="93"/>
      <c r="AE20" s="93"/>
      <c r="AF20" s="92"/>
      <c r="AG20" s="92">
        <f t="shared" si="10"/>
        <v>0</v>
      </c>
      <c r="AH20" s="92">
        <f t="shared" si="11"/>
        <v>0</v>
      </c>
      <c r="AI20" s="92">
        <f t="shared" ca="1" si="12"/>
        <v>0</v>
      </c>
      <c r="AJ20" s="92">
        <f t="shared" ca="1" si="12"/>
        <v>0</v>
      </c>
      <c r="AK20" s="92">
        <f t="shared" ca="1" si="12"/>
        <v>0</v>
      </c>
      <c r="AL20" s="92">
        <f t="shared" ca="1" si="12"/>
        <v>0</v>
      </c>
      <c r="AM20" s="92">
        <f t="shared" ca="1" si="12"/>
        <v>0</v>
      </c>
      <c r="AN20" s="92" t="e">
        <f t="shared" si="13"/>
        <v>#N/A</v>
      </c>
      <c r="AO20" s="92">
        <f t="shared" si="15"/>
        <v>142</v>
      </c>
      <c r="AP20" s="92">
        <f t="shared" ca="1" si="14"/>
        <v>0</v>
      </c>
      <c r="AQ20" s="92">
        <f t="shared" ca="1" si="4"/>
        <v>0</v>
      </c>
      <c r="AR20" s="92">
        <f t="shared" ca="1" si="4"/>
        <v>0</v>
      </c>
      <c r="AS20" s="92">
        <f t="shared" ca="1" si="4"/>
        <v>0</v>
      </c>
      <c r="AT20" s="92">
        <f t="shared" ca="1" si="4"/>
        <v>0</v>
      </c>
    </row>
    <row r="21" spans="2:46" ht="15" thickBot="1" x14ac:dyDescent="0.25">
      <c r="B21" s="16">
        <v>6</v>
      </c>
      <c r="C21" s="65" t="s">
        <v>167</v>
      </c>
      <c r="D21" s="55" t="str">
        <f>C157</f>
        <v/>
      </c>
      <c r="E21" s="56" t="str">
        <f>C158</f>
        <v/>
      </c>
      <c r="F21" s="55">
        <f>ROUND(W21+AL157,0)</f>
        <v>0</v>
      </c>
      <c r="G21" s="55">
        <f>ROUND(Y21+AK157,0)</f>
        <v>0</v>
      </c>
      <c r="H21" s="55">
        <f>ROUND(AA21+AJ157,0)</f>
        <v>0</v>
      </c>
      <c r="I21" s="57">
        <f t="shared" si="5"/>
        <v>0</v>
      </c>
      <c r="M21" s="63"/>
      <c r="N21" s="98"/>
      <c r="O21" s="98"/>
      <c r="P21" s="98"/>
      <c r="Q21" s="98"/>
      <c r="R21" s="98"/>
      <c r="S21" s="64"/>
      <c r="T21" s="92"/>
      <c r="U21" s="92"/>
      <c r="V21" s="92">
        <f t="shared" si="0"/>
        <v>0</v>
      </c>
      <c r="W21" s="92">
        <f t="shared" si="6"/>
        <v>0</v>
      </c>
      <c r="X21" s="92">
        <f t="shared" si="1"/>
        <v>0</v>
      </c>
      <c r="Y21" s="92">
        <f t="shared" si="7"/>
        <v>0</v>
      </c>
      <c r="Z21" s="92">
        <f t="shared" si="2"/>
        <v>0</v>
      </c>
      <c r="AA21" s="92">
        <f t="shared" si="8"/>
        <v>0</v>
      </c>
      <c r="AB21" s="92">
        <f t="shared" si="3"/>
        <v>0</v>
      </c>
      <c r="AC21" s="92">
        <f t="shared" si="9"/>
        <v>0</v>
      </c>
      <c r="AD21" s="93"/>
      <c r="AE21" s="93"/>
      <c r="AF21" s="92"/>
      <c r="AG21" s="92">
        <f t="shared" si="10"/>
        <v>1</v>
      </c>
      <c r="AH21" s="92">
        <f t="shared" si="11"/>
        <v>0</v>
      </c>
      <c r="AI21" s="92">
        <f t="shared" ca="1" si="12"/>
        <v>0</v>
      </c>
      <c r="AJ21" s="92">
        <f t="shared" ca="1" si="12"/>
        <v>0</v>
      </c>
      <c r="AK21" s="92">
        <f t="shared" ca="1" si="12"/>
        <v>0</v>
      </c>
      <c r="AL21" s="92">
        <f t="shared" ca="1" si="12"/>
        <v>0</v>
      </c>
      <c r="AM21" s="92">
        <f t="shared" ca="1" si="12"/>
        <v>0</v>
      </c>
      <c r="AN21" s="92">
        <f t="shared" si="13"/>
        <v>0</v>
      </c>
      <c r="AO21" s="92">
        <f t="shared" si="15"/>
        <v>159</v>
      </c>
      <c r="AP21" s="92">
        <f t="shared" ca="1" si="14"/>
        <v>0</v>
      </c>
      <c r="AQ21" s="92">
        <f t="shared" ca="1" si="4"/>
        <v>0</v>
      </c>
      <c r="AR21" s="92">
        <f t="shared" ca="1" si="4"/>
        <v>0</v>
      </c>
      <c r="AS21" s="92">
        <f t="shared" ca="1" si="4"/>
        <v>0</v>
      </c>
      <c r="AT21" s="92">
        <f t="shared" ca="1" si="4"/>
        <v>0</v>
      </c>
    </row>
    <row r="22" spans="2:46" ht="15" thickBot="1" x14ac:dyDescent="0.25">
      <c r="B22" s="16">
        <v>7</v>
      </c>
      <c r="C22" s="65" t="s">
        <v>167</v>
      </c>
      <c r="D22" s="55" t="str">
        <f>C174</f>
        <v/>
      </c>
      <c r="E22" s="56" t="str">
        <f>C175</f>
        <v/>
      </c>
      <c r="F22" s="55">
        <f>ROUND(W22+AL174,0)</f>
        <v>0</v>
      </c>
      <c r="G22" s="55">
        <f>ROUND(Y22+AK174,0)</f>
        <v>0</v>
      </c>
      <c r="H22" s="55">
        <f>ROUND(AA22+AJ174,0)</f>
        <v>0</v>
      </c>
      <c r="I22" s="57">
        <f t="shared" si="5"/>
        <v>0</v>
      </c>
      <c r="M22" s="25" t="s">
        <v>19</v>
      </c>
      <c r="N22" s="59"/>
      <c r="O22" s="23"/>
      <c r="P22" s="23"/>
      <c r="Q22" s="23"/>
      <c r="R22" s="23"/>
      <c r="S22" s="24"/>
      <c r="T22" s="92"/>
      <c r="U22" s="92"/>
      <c r="V22" s="92">
        <f t="shared" si="0"/>
        <v>0</v>
      </c>
      <c r="W22" s="92">
        <f t="shared" si="6"/>
        <v>0</v>
      </c>
      <c r="X22" s="92">
        <f t="shared" si="1"/>
        <v>0</v>
      </c>
      <c r="Y22" s="92">
        <f t="shared" si="7"/>
        <v>0</v>
      </c>
      <c r="Z22" s="92">
        <f t="shared" si="2"/>
        <v>0</v>
      </c>
      <c r="AA22" s="92">
        <f t="shared" si="8"/>
        <v>0</v>
      </c>
      <c r="AB22" s="92">
        <f t="shared" si="3"/>
        <v>0</v>
      </c>
      <c r="AC22" s="92">
        <f t="shared" si="9"/>
        <v>0</v>
      </c>
      <c r="AD22" s="93"/>
      <c r="AE22" s="93"/>
      <c r="AF22" s="92"/>
      <c r="AG22" s="92">
        <f t="shared" si="10"/>
        <v>1</v>
      </c>
      <c r="AH22" s="92">
        <f t="shared" si="11"/>
        <v>0</v>
      </c>
      <c r="AI22" s="92">
        <f t="shared" ca="1" si="12"/>
        <v>0</v>
      </c>
      <c r="AJ22" s="92">
        <f t="shared" ca="1" si="12"/>
        <v>0</v>
      </c>
      <c r="AK22" s="92">
        <f t="shared" ca="1" si="12"/>
        <v>0</v>
      </c>
      <c r="AL22" s="92">
        <f t="shared" ca="1" si="12"/>
        <v>0</v>
      </c>
      <c r="AM22" s="92">
        <f t="shared" ca="1" si="12"/>
        <v>0</v>
      </c>
      <c r="AN22" s="92">
        <f t="shared" si="13"/>
        <v>0</v>
      </c>
      <c r="AO22" s="92">
        <f t="shared" si="15"/>
        <v>176</v>
      </c>
      <c r="AP22" s="92">
        <f t="shared" ca="1" si="14"/>
        <v>0</v>
      </c>
      <c r="AQ22" s="92">
        <f t="shared" ca="1" si="4"/>
        <v>0</v>
      </c>
      <c r="AR22" s="92">
        <f t="shared" ca="1" si="4"/>
        <v>0</v>
      </c>
      <c r="AS22" s="92">
        <f t="shared" ca="1" si="4"/>
        <v>0</v>
      </c>
      <c r="AT22" s="92">
        <f t="shared" ca="1" si="4"/>
        <v>0</v>
      </c>
    </row>
    <row r="23" spans="2:46" ht="15" thickBot="1" x14ac:dyDescent="0.25">
      <c r="B23" s="16">
        <v>8</v>
      </c>
      <c r="C23" s="65" t="s">
        <v>167</v>
      </c>
      <c r="D23" s="55" t="str">
        <f>C191</f>
        <v/>
      </c>
      <c r="E23" s="56" t="str">
        <f>C192</f>
        <v/>
      </c>
      <c r="F23" s="55">
        <f>ROUND(W23+AL191,0)</f>
        <v>0</v>
      </c>
      <c r="G23" s="55">
        <f>ROUND(Y23+AK191,0)</f>
        <v>0</v>
      </c>
      <c r="H23" s="55">
        <f>ROUND(AA23+AJ191,0)</f>
        <v>0</v>
      </c>
      <c r="I23" s="57">
        <f t="shared" si="5"/>
        <v>0</v>
      </c>
      <c r="M23" s="22" t="s">
        <v>169</v>
      </c>
      <c r="N23" s="23"/>
      <c r="O23" s="23"/>
      <c r="P23" s="23"/>
      <c r="Q23" s="23"/>
      <c r="R23" s="23"/>
      <c r="S23" s="24"/>
      <c r="T23" s="92"/>
      <c r="U23" s="92"/>
      <c r="V23" s="92">
        <f t="shared" si="0"/>
        <v>0</v>
      </c>
      <c r="W23" s="92">
        <f t="shared" si="6"/>
        <v>0</v>
      </c>
      <c r="X23" s="92">
        <f t="shared" si="1"/>
        <v>0</v>
      </c>
      <c r="Y23" s="92">
        <f t="shared" si="7"/>
        <v>0</v>
      </c>
      <c r="Z23" s="92">
        <f t="shared" si="2"/>
        <v>0</v>
      </c>
      <c r="AA23" s="92">
        <f t="shared" si="8"/>
        <v>0</v>
      </c>
      <c r="AB23" s="92">
        <f t="shared" si="3"/>
        <v>0</v>
      </c>
      <c r="AC23" s="92">
        <f t="shared" si="9"/>
        <v>0</v>
      </c>
      <c r="AD23" s="93"/>
      <c r="AE23" s="93"/>
      <c r="AF23" s="92"/>
      <c r="AG23" s="92">
        <f t="shared" si="10"/>
        <v>1</v>
      </c>
      <c r="AH23" s="92">
        <f t="shared" si="11"/>
        <v>0</v>
      </c>
      <c r="AI23" s="92">
        <f t="shared" ca="1" si="12"/>
        <v>0</v>
      </c>
      <c r="AJ23" s="92">
        <f t="shared" ca="1" si="12"/>
        <v>0</v>
      </c>
      <c r="AK23" s="92">
        <f t="shared" ca="1" si="12"/>
        <v>0</v>
      </c>
      <c r="AL23" s="92">
        <f t="shared" ca="1" si="12"/>
        <v>0</v>
      </c>
      <c r="AM23" s="92">
        <f t="shared" ca="1" si="12"/>
        <v>0</v>
      </c>
      <c r="AN23" s="92">
        <f t="shared" si="13"/>
        <v>0</v>
      </c>
      <c r="AO23" s="92">
        <f t="shared" si="15"/>
        <v>193</v>
      </c>
      <c r="AP23" s="92">
        <f t="shared" ca="1" si="14"/>
        <v>0</v>
      </c>
      <c r="AQ23" s="92">
        <f t="shared" ca="1" si="4"/>
        <v>0</v>
      </c>
      <c r="AR23" s="92">
        <f t="shared" ca="1" si="4"/>
        <v>0</v>
      </c>
      <c r="AS23" s="92">
        <f t="shared" ca="1" si="4"/>
        <v>0</v>
      </c>
      <c r="AT23" s="92">
        <f t="shared" ca="1" si="4"/>
        <v>0</v>
      </c>
    </row>
    <row r="24" spans="2:46" ht="15" thickBot="1" x14ac:dyDescent="0.25">
      <c r="B24" s="16" t="s">
        <v>10</v>
      </c>
      <c r="C24" s="66" t="s">
        <v>167</v>
      </c>
      <c r="D24" s="55"/>
      <c r="E24" s="56"/>
      <c r="F24" s="55">
        <f>W24</f>
        <v>0</v>
      </c>
      <c r="G24" s="55">
        <f>ROUND(Y24,0)</f>
        <v>0</v>
      </c>
      <c r="H24" s="55">
        <f>AA24</f>
        <v>0</v>
      </c>
      <c r="I24" s="57">
        <f>AC24</f>
        <v>0</v>
      </c>
      <c r="M24" s="22" t="s">
        <v>20</v>
      </c>
      <c r="N24" s="23"/>
      <c r="O24" s="23"/>
      <c r="P24" s="23"/>
      <c r="Q24" s="23"/>
      <c r="R24" s="23"/>
      <c r="S24" s="24"/>
      <c r="T24" s="92"/>
      <c r="U24" s="92"/>
      <c r="V24" s="92">
        <f t="shared" si="0"/>
        <v>0</v>
      </c>
      <c r="W24" s="92">
        <f t="shared" si="6"/>
        <v>0</v>
      </c>
      <c r="X24" s="92">
        <f t="shared" si="1"/>
        <v>0</v>
      </c>
      <c r="Y24" s="92">
        <f t="shared" si="7"/>
        <v>0</v>
      </c>
      <c r="Z24" s="92">
        <f t="shared" si="2"/>
        <v>0</v>
      </c>
      <c r="AA24" s="92">
        <f t="shared" si="8"/>
        <v>0</v>
      </c>
      <c r="AB24" s="92">
        <f t="shared" si="3"/>
        <v>0</v>
      </c>
      <c r="AC24" s="92">
        <f t="shared" si="9"/>
        <v>0</v>
      </c>
      <c r="AD24" s="93"/>
      <c r="AE24" s="93"/>
      <c r="AF24" s="92"/>
      <c r="AG24" s="92">
        <f t="shared" si="10"/>
        <v>1</v>
      </c>
      <c r="AH24" s="92">
        <f t="shared" si="11"/>
        <v>0</v>
      </c>
      <c r="AI24" s="92"/>
      <c r="AJ24" s="92"/>
      <c r="AK24" s="92"/>
      <c r="AL24" s="92"/>
      <c r="AM24" s="92"/>
      <c r="AN24" s="92">
        <f t="shared" si="13"/>
        <v>0</v>
      </c>
      <c r="AO24" s="92">
        <f t="shared" si="15"/>
        <v>210</v>
      </c>
      <c r="AP24" s="92"/>
      <c r="AQ24" s="92"/>
      <c r="AR24" s="92"/>
      <c r="AS24" s="92"/>
      <c r="AT24" s="92"/>
    </row>
    <row r="25" spans="2:46" ht="15" thickBot="1" x14ac:dyDescent="0.25">
      <c r="B25" s="16" t="s">
        <v>11</v>
      </c>
      <c r="C25" s="66" t="s">
        <v>167</v>
      </c>
      <c r="D25" s="55"/>
      <c r="E25" s="56"/>
      <c r="F25" s="55">
        <f>W25</f>
        <v>0</v>
      </c>
      <c r="G25" s="55">
        <f>Y25</f>
        <v>0</v>
      </c>
      <c r="H25" s="55">
        <f>AA25</f>
        <v>0</v>
      </c>
      <c r="I25" s="57">
        <f>AC25</f>
        <v>0</v>
      </c>
      <c r="M25" s="25" t="s">
        <v>21</v>
      </c>
      <c r="N25" s="23"/>
      <c r="O25" s="23"/>
      <c r="P25" s="23"/>
      <c r="Q25" s="23"/>
      <c r="R25" s="23"/>
      <c r="S25" s="24"/>
      <c r="T25" s="92"/>
      <c r="U25" s="92"/>
      <c r="V25" s="92">
        <f t="shared" si="0"/>
        <v>0</v>
      </c>
      <c r="W25" s="92">
        <f t="shared" si="6"/>
        <v>0</v>
      </c>
      <c r="X25" s="92">
        <f t="shared" si="1"/>
        <v>0</v>
      </c>
      <c r="Y25" s="92">
        <f t="shared" si="7"/>
        <v>0</v>
      </c>
      <c r="Z25" s="92">
        <f t="shared" si="2"/>
        <v>0</v>
      </c>
      <c r="AA25" s="92">
        <f t="shared" si="8"/>
        <v>0</v>
      </c>
      <c r="AB25" s="92">
        <f t="shared" si="3"/>
        <v>0</v>
      </c>
      <c r="AC25" s="92">
        <f t="shared" si="9"/>
        <v>0</v>
      </c>
      <c r="AD25" s="93"/>
      <c r="AE25" s="93"/>
      <c r="AF25" s="92"/>
      <c r="AG25" s="92">
        <f t="shared" si="10"/>
        <v>1</v>
      </c>
      <c r="AH25" s="92">
        <f t="shared" si="11"/>
        <v>0</v>
      </c>
      <c r="AI25" s="92"/>
      <c r="AJ25" s="92"/>
      <c r="AK25" s="92"/>
      <c r="AL25" s="92"/>
      <c r="AM25" s="92"/>
      <c r="AN25" s="92">
        <f t="shared" si="13"/>
        <v>0</v>
      </c>
      <c r="AO25" s="92">
        <f t="shared" si="15"/>
        <v>227</v>
      </c>
      <c r="AP25" s="92"/>
      <c r="AQ25" s="92"/>
      <c r="AR25" s="92"/>
      <c r="AS25" s="92"/>
      <c r="AT25" s="92"/>
    </row>
    <row r="26" spans="2:46" ht="15" thickBot="1" x14ac:dyDescent="0.25">
      <c r="F26" s="55">
        <f>SUM(F16:F25)</f>
        <v>0</v>
      </c>
      <c r="G26" s="55">
        <f>SUM(G16:G25)</f>
        <v>0</v>
      </c>
      <c r="H26" s="55">
        <f>SUM(H16:H25)</f>
        <v>0</v>
      </c>
      <c r="I26" s="58">
        <f>F26+(2*G26)+(3*H26)</f>
        <v>0</v>
      </c>
      <c r="J26" s="38" t="s">
        <v>58</v>
      </c>
      <c r="M26" s="22" t="s">
        <v>168</v>
      </c>
      <c r="N26" s="23"/>
      <c r="O26" s="23"/>
      <c r="P26" s="23"/>
      <c r="Q26" s="23"/>
      <c r="R26" s="23"/>
      <c r="S26" s="24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2:46" x14ac:dyDescent="0.2">
      <c r="F27" s="14"/>
      <c r="I27" s="13"/>
      <c r="M27" s="22" t="s">
        <v>22</v>
      </c>
      <c r="N27" s="23"/>
      <c r="O27" s="23"/>
      <c r="P27" s="23"/>
      <c r="Q27" s="23"/>
      <c r="R27" s="23"/>
      <c r="S27" s="24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2:46" ht="15" thickBot="1" x14ac:dyDescent="0.25">
      <c r="M28" s="26" t="s">
        <v>23</v>
      </c>
      <c r="N28" s="9"/>
      <c r="O28" s="9"/>
      <c r="P28" s="9"/>
      <c r="Q28" s="9"/>
      <c r="R28" s="9"/>
      <c r="S28" s="10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2:46" ht="15" x14ac:dyDescent="0.25">
      <c r="C29" s="17" t="s">
        <v>15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2:46" x14ac:dyDescent="0.2">
      <c r="C30" s="15" t="s">
        <v>16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2:46" ht="15" thickBot="1" x14ac:dyDescent="0.25">
      <c r="K31" s="36" t="s">
        <v>18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2:46" ht="15" thickBot="1" x14ac:dyDescent="0.25">
      <c r="C32" s="27" t="s">
        <v>17</v>
      </c>
      <c r="D32" s="11">
        <v>801</v>
      </c>
      <c r="E32" s="11">
        <f>IF(D35="",0,D34-D35)</f>
        <v>0</v>
      </c>
      <c r="F32" s="11">
        <f t="shared" ref="F32:M32" si="16">IF(E35="",0,E34-E35)</f>
        <v>0</v>
      </c>
      <c r="G32" s="11">
        <f t="shared" si="16"/>
        <v>0</v>
      </c>
      <c r="H32" s="11">
        <f t="shared" si="16"/>
        <v>0</v>
      </c>
      <c r="I32" s="11">
        <f t="shared" si="16"/>
        <v>0</v>
      </c>
      <c r="J32" s="11">
        <f t="shared" si="16"/>
        <v>0</v>
      </c>
      <c r="K32" s="11">
        <f t="shared" si="16"/>
        <v>0</v>
      </c>
      <c r="L32" s="11">
        <f t="shared" si="16"/>
        <v>0</v>
      </c>
      <c r="M32" s="11">
        <f t="shared" si="16"/>
        <v>0</v>
      </c>
      <c r="N32" s="70"/>
      <c r="O32" s="75">
        <f>IF(ISBLANK(N32),0,1)</f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f>IF(AND(O32=1,UPPER(N32)="WON",SUM(U33:U35)=0),1,0)</f>
        <v>0</v>
      </c>
      <c r="AE32" s="93" t="s">
        <v>108</v>
      </c>
      <c r="AF32" s="92" t="s">
        <v>59</v>
      </c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2:46" ht="15" thickBot="1" x14ac:dyDescent="0.25">
      <c r="B33" s="13"/>
      <c r="C33" s="68" t="s">
        <v>167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75"/>
      <c r="T33" s="92" t="s">
        <v>30</v>
      </c>
      <c r="U33" s="92">
        <f>SUM(D36:M36)</f>
        <v>0</v>
      </c>
      <c r="V33" s="92" t="s">
        <v>27</v>
      </c>
      <c r="W33" s="94">
        <f>COUNTIF(D33:M33,"&gt;99")-($Y33+$AA33)</f>
        <v>0</v>
      </c>
      <c r="X33" s="92" t="s">
        <v>28</v>
      </c>
      <c r="Y33" s="94">
        <f>COUNTIF($D33:$M33,"&gt;139")-$AA33</f>
        <v>0</v>
      </c>
      <c r="Z33" s="92" t="s">
        <v>29</v>
      </c>
      <c r="AA33" s="92">
        <f>COUNTIF($D33:$M33,"&gt;169")</f>
        <v>0</v>
      </c>
      <c r="AB33" s="92" t="s">
        <v>9</v>
      </c>
      <c r="AC33" s="92">
        <f>IF(U33&gt;0,1,0)</f>
        <v>0</v>
      </c>
      <c r="AD33" s="93">
        <f>IF(OR(ISBLANK(C33),ISBLANK(C35)),1,0)</f>
        <v>0</v>
      </c>
      <c r="AE33" s="93" t="s">
        <v>112</v>
      </c>
      <c r="AF33" s="92" t="s">
        <v>60</v>
      </c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2:46" ht="15" thickBot="1" x14ac:dyDescent="0.25">
      <c r="B34" s="13"/>
      <c r="C34" s="27" t="s">
        <v>146</v>
      </c>
      <c r="D34" s="11">
        <f>IF(D33="",0,D32-D33)</f>
        <v>0</v>
      </c>
      <c r="E34" s="11">
        <f t="shared" ref="E34:M34" si="17">IF(E33="",0,E32-E33)</f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O34" s="75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f>IF(NOT(OR(ISBLANK(N32),N32="WON",N32="LOST")),1,0)</f>
        <v>0</v>
      </c>
      <c r="AE34" s="93" t="s">
        <v>116</v>
      </c>
      <c r="AF34" s="92" t="s">
        <v>62</v>
      </c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2:46" ht="15" thickBot="1" x14ac:dyDescent="0.25">
      <c r="B35" s="13"/>
      <c r="C35" s="69" t="s">
        <v>167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5"/>
      <c r="T35" s="92" t="s">
        <v>30</v>
      </c>
      <c r="U35" s="92">
        <f>SUM(D37:M37)</f>
        <v>0</v>
      </c>
      <c r="V35" s="92" t="s">
        <v>27</v>
      </c>
      <c r="W35" s="94">
        <f>COUNTIF(D35:M35,"&gt;99")-($Y35+$AA35)</f>
        <v>0</v>
      </c>
      <c r="X35" s="92" t="s">
        <v>28</v>
      </c>
      <c r="Y35" s="94">
        <f>COUNTIF($D35:$M35,"&gt;139")-$AA35</f>
        <v>0</v>
      </c>
      <c r="Z35" s="92" t="s">
        <v>29</v>
      </c>
      <c r="AA35" s="92">
        <f>COUNTIF($D35:$M35,"&gt;169")</f>
        <v>0</v>
      </c>
      <c r="AB35" s="92" t="s">
        <v>9</v>
      </c>
      <c r="AC35" s="92">
        <f>IF(U35&gt;0,1,0)</f>
        <v>0</v>
      </c>
      <c r="AD35" s="93"/>
      <c r="AE35" s="93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75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  <row r="37" spans="2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75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2:46" ht="15" thickBot="1" x14ac:dyDescent="0.25">
      <c r="O38" s="75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</row>
    <row r="39" spans="2:46" ht="15" thickBot="1" x14ac:dyDescent="0.25">
      <c r="C39" s="27" t="s">
        <v>38</v>
      </c>
      <c r="D39" s="11">
        <v>801</v>
      </c>
      <c r="E39" s="11">
        <f t="shared" ref="E39:M39" si="20">IF(D42="",0,D41-D42)</f>
        <v>0</v>
      </c>
      <c r="F39" s="11">
        <f t="shared" si="20"/>
        <v>0</v>
      </c>
      <c r="G39" s="11">
        <f t="shared" si="20"/>
        <v>0</v>
      </c>
      <c r="H39" s="11">
        <f t="shared" si="20"/>
        <v>0</v>
      </c>
      <c r="I39" s="11">
        <f t="shared" si="20"/>
        <v>0</v>
      </c>
      <c r="J39" s="11">
        <f t="shared" si="20"/>
        <v>0</v>
      </c>
      <c r="K39" s="11">
        <f t="shared" si="20"/>
        <v>0</v>
      </c>
      <c r="L39" s="11">
        <f t="shared" si="20"/>
        <v>0</v>
      </c>
      <c r="M39" s="11">
        <f t="shared" si="20"/>
        <v>0</v>
      </c>
      <c r="N39" s="70"/>
      <c r="O39" s="75">
        <f>IF(ISBLANK(N39),0,1)</f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>
        <f>IF(AND(O39=1,UPPER(N39)="WON",SUM(U40:U42)=0),1,0)</f>
        <v>0</v>
      </c>
      <c r="AE39" s="93" t="s">
        <v>109</v>
      </c>
      <c r="AF39" s="92" t="s">
        <v>59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2:46" ht="15" thickBot="1" x14ac:dyDescent="0.25">
      <c r="C40" s="68" t="s">
        <v>167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5"/>
      <c r="T40" s="92" t="s">
        <v>30</v>
      </c>
      <c r="U40" s="92">
        <f>SUM(D43:M43)</f>
        <v>0</v>
      </c>
      <c r="V40" s="92" t="s">
        <v>27</v>
      </c>
      <c r="W40" s="94">
        <f>COUNTIF(D40:M40,"&gt;99")-($Y40+$AA40)</f>
        <v>0</v>
      </c>
      <c r="X40" s="92" t="s">
        <v>28</v>
      </c>
      <c r="Y40" s="94">
        <f>COUNTIF($D40:$M40,"&gt;139")-$AA40</f>
        <v>0</v>
      </c>
      <c r="Z40" s="92" t="s">
        <v>29</v>
      </c>
      <c r="AA40" s="92">
        <f>COUNTIF($D40:$M40,"&gt;169")</f>
        <v>0</v>
      </c>
      <c r="AB40" s="92" t="s">
        <v>9</v>
      </c>
      <c r="AC40" s="92">
        <f>IF(U40&gt;0,1,0)</f>
        <v>0</v>
      </c>
      <c r="AD40" s="93">
        <f>IF(OR(ISBLANK(C40),ISBLANK(C42)),1,0)</f>
        <v>0</v>
      </c>
      <c r="AE40" s="93" t="s">
        <v>113</v>
      </c>
      <c r="AF40" s="92" t="s">
        <v>60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</row>
    <row r="41" spans="2:46" ht="15" thickBot="1" x14ac:dyDescent="0.25">
      <c r="C41" s="27" t="s">
        <v>31</v>
      </c>
      <c r="D41" s="11">
        <f>IF(D40="",0,D39-D40)</f>
        <v>0</v>
      </c>
      <c r="E41" s="11">
        <f t="shared" ref="E41:M41" si="21">IF(E40="",0,E39-E40)</f>
        <v>0</v>
      </c>
      <c r="F41" s="11">
        <f t="shared" si="21"/>
        <v>0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11">
        <f t="shared" si="21"/>
        <v>0</v>
      </c>
      <c r="M41" s="11">
        <f t="shared" si="21"/>
        <v>0</v>
      </c>
      <c r="O41" s="75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>
        <f>IF(NOT(OR(ISBLANK(N39),N39="WON",N39="LOST")),1,0)</f>
        <v>0</v>
      </c>
      <c r="AE41" s="93" t="s">
        <v>117</v>
      </c>
      <c r="AF41" s="92" t="s">
        <v>62</v>
      </c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2:46" ht="15" thickBot="1" x14ac:dyDescent="0.25">
      <c r="C42" s="69" t="s">
        <v>167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75"/>
      <c r="T42" s="92" t="s">
        <v>30</v>
      </c>
      <c r="U42" s="92">
        <f>SUM(D44:M44)</f>
        <v>0</v>
      </c>
      <c r="V42" s="92" t="s">
        <v>27</v>
      </c>
      <c r="W42" s="94">
        <f>COUNTIF(D42:M42,"&gt;99")-($Y42+$AA42)</f>
        <v>0</v>
      </c>
      <c r="X42" s="92" t="s">
        <v>28</v>
      </c>
      <c r="Y42" s="94">
        <f>COUNTIF($D42:$M42,"&gt;139")-$AA42</f>
        <v>0</v>
      </c>
      <c r="Z42" s="92" t="s">
        <v>29</v>
      </c>
      <c r="AA42" s="92">
        <f>COUNTIF($D42:$M42,"&gt;169")</f>
        <v>0</v>
      </c>
      <c r="AB42" s="92" t="s">
        <v>9</v>
      </c>
      <c r="AC42" s="92">
        <f>IF(U42&gt;0,1,0)</f>
        <v>0</v>
      </c>
      <c r="AD42" s="93"/>
      <c r="AE42" s="93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2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75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2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75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2:46" ht="15" thickBot="1" x14ac:dyDescent="0.25">
      <c r="O45" s="75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2:46" ht="15" thickBot="1" x14ac:dyDescent="0.25">
      <c r="C46" s="27" t="s">
        <v>32</v>
      </c>
      <c r="D46" s="11">
        <v>801</v>
      </c>
      <c r="E46" s="11">
        <f t="shared" ref="E46:M46" si="24">IF(D49="",0,D48-D49)</f>
        <v>0</v>
      </c>
      <c r="F46" s="11">
        <f t="shared" si="24"/>
        <v>0</v>
      </c>
      <c r="G46" s="11">
        <f t="shared" si="24"/>
        <v>0</v>
      </c>
      <c r="H46" s="11">
        <f t="shared" si="24"/>
        <v>0</v>
      </c>
      <c r="I46" s="11">
        <f t="shared" si="24"/>
        <v>0</v>
      </c>
      <c r="J46" s="11">
        <f t="shared" si="24"/>
        <v>0</v>
      </c>
      <c r="K46" s="11">
        <f t="shared" si="24"/>
        <v>0</v>
      </c>
      <c r="L46" s="11">
        <f t="shared" si="24"/>
        <v>0</v>
      </c>
      <c r="M46" s="11">
        <f t="shared" si="24"/>
        <v>0</v>
      </c>
      <c r="N46" s="70"/>
      <c r="O46" s="75">
        <f>IF(ISBLANK(N46),0,1)</f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3">
        <f>IF(AND(O46=1,UPPER(N46)="WON",SUM(U47:U49)=0),1,0)</f>
        <v>0</v>
      </c>
      <c r="AE46" s="93" t="s">
        <v>110</v>
      </c>
      <c r="AF46" s="92" t="s">
        <v>59</v>
      </c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2:46" ht="15" thickBot="1" x14ac:dyDescent="0.25">
      <c r="C47" s="68" t="s">
        <v>167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75"/>
      <c r="T47" s="92" t="s">
        <v>30</v>
      </c>
      <c r="U47" s="92">
        <f>SUM(D50:M50)</f>
        <v>0</v>
      </c>
      <c r="V47" s="92" t="s">
        <v>27</v>
      </c>
      <c r="W47" s="94">
        <f>COUNTIF(D47:M47,"&gt;99")-($Y47+$AA47)</f>
        <v>0</v>
      </c>
      <c r="X47" s="92" t="s">
        <v>28</v>
      </c>
      <c r="Y47" s="94">
        <f>COUNTIF($D47:$M47,"&gt;139")-$AA47</f>
        <v>0</v>
      </c>
      <c r="Z47" s="92" t="s">
        <v>29</v>
      </c>
      <c r="AA47" s="92">
        <f>COUNTIF($D47:$M47,"&gt;169")</f>
        <v>0</v>
      </c>
      <c r="AB47" s="92" t="s">
        <v>9</v>
      </c>
      <c r="AC47" s="92">
        <f>IF(U47&gt;0,1,0)</f>
        <v>0</v>
      </c>
      <c r="AD47" s="93">
        <f>IF(OR(ISBLANK(C47),ISBLANK(C49)),1,0)</f>
        <v>0</v>
      </c>
      <c r="AE47" s="93" t="s">
        <v>114</v>
      </c>
      <c r="AF47" s="92" t="s">
        <v>60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2:46" ht="15" thickBot="1" x14ac:dyDescent="0.25">
      <c r="C48" s="27" t="s">
        <v>33</v>
      </c>
      <c r="D48" s="11">
        <f>IF(D47="",0,D46-D47)</f>
        <v>0</v>
      </c>
      <c r="E48" s="11">
        <f t="shared" ref="E48:M48" si="25">IF(E47="",0,E46-E47)</f>
        <v>0</v>
      </c>
      <c r="F48" s="11">
        <f t="shared" si="25"/>
        <v>0</v>
      </c>
      <c r="G48" s="11">
        <f t="shared" si="25"/>
        <v>0</v>
      </c>
      <c r="H48" s="11">
        <f t="shared" si="25"/>
        <v>0</v>
      </c>
      <c r="I48" s="11">
        <f t="shared" si="25"/>
        <v>0</v>
      </c>
      <c r="J48" s="11">
        <f t="shared" si="25"/>
        <v>0</v>
      </c>
      <c r="K48" s="11">
        <f t="shared" si="25"/>
        <v>0</v>
      </c>
      <c r="L48" s="11">
        <f t="shared" si="25"/>
        <v>0</v>
      </c>
      <c r="M48" s="11">
        <f t="shared" si="25"/>
        <v>0</v>
      </c>
      <c r="O48" s="75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>
        <f>IF(NOT(OR(ISBLANK(N46),N46="WON",N46="LOST")),1,0)</f>
        <v>0</v>
      </c>
      <c r="AE48" s="93" t="s">
        <v>118</v>
      </c>
      <c r="AF48" s="92" t="s">
        <v>62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3:46" ht="15" thickBot="1" x14ac:dyDescent="0.25">
      <c r="C49" s="69" t="s">
        <v>167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75"/>
      <c r="T49" s="92" t="s">
        <v>30</v>
      </c>
      <c r="U49" s="92">
        <f>SUM(D51:M51)</f>
        <v>0</v>
      </c>
      <c r="V49" s="92" t="s">
        <v>27</v>
      </c>
      <c r="W49" s="94">
        <f>COUNTIF(D49:M49,"&gt;99")-($Y49+$AA49)</f>
        <v>0</v>
      </c>
      <c r="X49" s="92" t="s">
        <v>28</v>
      </c>
      <c r="Y49" s="94">
        <f>COUNTIF($D49:$M49,"&gt;139")-$AA49</f>
        <v>0</v>
      </c>
      <c r="Z49" s="92" t="s">
        <v>29</v>
      </c>
      <c r="AA49" s="92">
        <f>COUNTIF($D49:$M49,"&gt;169")</f>
        <v>0</v>
      </c>
      <c r="AB49" s="92" t="s">
        <v>9</v>
      </c>
      <c r="AC49" s="92">
        <f>IF(U49&gt;0,1,0)</f>
        <v>0</v>
      </c>
      <c r="AD49" s="93"/>
      <c r="AE49" s="93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75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3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75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3"/>
      <c r="AE51" s="93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3:46" ht="15" thickBot="1" x14ac:dyDescent="0.25">
      <c r="O52" s="75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93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3:46" ht="15" thickBot="1" x14ac:dyDescent="0.25">
      <c r="C53" s="27" t="s">
        <v>39</v>
      </c>
      <c r="D53" s="11">
        <v>801</v>
      </c>
      <c r="E53" s="11">
        <f t="shared" ref="E53:M53" si="28">IF(D56="",0,D55-D56)</f>
        <v>0</v>
      </c>
      <c r="F53" s="11">
        <f t="shared" si="28"/>
        <v>0</v>
      </c>
      <c r="G53" s="11">
        <f t="shared" si="28"/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11">
        <f t="shared" si="28"/>
        <v>0</v>
      </c>
      <c r="N53" s="70"/>
      <c r="O53" s="75">
        <f>IF(ISBLANK(N53),0,1)</f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3">
        <f>IF(AND(O53=1,UPPER(N53)="WON",SUM(U54:U56)=0),1,0)</f>
        <v>0</v>
      </c>
      <c r="AE53" s="93" t="s">
        <v>111</v>
      </c>
      <c r="AF53" s="92" t="s">
        <v>59</v>
      </c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3:46" ht="15" thickBot="1" x14ac:dyDescent="0.25">
      <c r="C54" s="68" t="s">
        <v>167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75"/>
      <c r="T54" s="92" t="s">
        <v>30</v>
      </c>
      <c r="U54" s="92">
        <f>SUM(D57:M57)</f>
        <v>0</v>
      </c>
      <c r="V54" s="92" t="s">
        <v>27</v>
      </c>
      <c r="W54" s="94">
        <f>COUNTIF(D54:M54,"&gt;99")-($Y54+$AA54)</f>
        <v>0</v>
      </c>
      <c r="X54" s="92" t="s">
        <v>28</v>
      </c>
      <c r="Y54" s="94">
        <f>COUNTIF($D54:$M54,"&gt;139")-$AA54</f>
        <v>0</v>
      </c>
      <c r="Z54" s="92" t="s">
        <v>29</v>
      </c>
      <c r="AA54" s="92">
        <f>COUNTIF($D54:$M54,"&gt;169")</f>
        <v>0</v>
      </c>
      <c r="AB54" s="92" t="s">
        <v>9</v>
      </c>
      <c r="AC54" s="92">
        <f>IF(U54&gt;0,1,0)</f>
        <v>0</v>
      </c>
      <c r="AD54" s="93">
        <f>IF(OR(ISBLANK(C54),ISBLANK(C56)),1,0)</f>
        <v>0</v>
      </c>
      <c r="AE54" s="93" t="s">
        <v>115</v>
      </c>
      <c r="AF54" s="92" t="s">
        <v>60</v>
      </c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3:46" ht="15" thickBot="1" x14ac:dyDescent="0.25">
      <c r="C55" s="27" t="s">
        <v>34</v>
      </c>
      <c r="D55" s="11">
        <f>IF(D54="",0,D53-D54)</f>
        <v>0</v>
      </c>
      <c r="E55" s="11">
        <f t="shared" ref="E55:M55" si="29">IF(E54="",0,E53-E54)</f>
        <v>0</v>
      </c>
      <c r="F55" s="11">
        <f t="shared" si="29"/>
        <v>0</v>
      </c>
      <c r="G55" s="11">
        <f t="shared" si="29"/>
        <v>0</v>
      </c>
      <c r="H55" s="11">
        <f t="shared" si="29"/>
        <v>0</v>
      </c>
      <c r="I55" s="11">
        <f t="shared" si="29"/>
        <v>0</v>
      </c>
      <c r="J55" s="11">
        <f t="shared" si="29"/>
        <v>0</v>
      </c>
      <c r="K55" s="11">
        <f t="shared" si="29"/>
        <v>0</v>
      </c>
      <c r="L55" s="11">
        <f t="shared" si="29"/>
        <v>0</v>
      </c>
      <c r="M55" s="11">
        <f t="shared" si="29"/>
        <v>0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>
        <f>IF(NOT(OR(ISBLANK(N53),N53="WON",N53="LOST")),1,0)</f>
        <v>0</v>
      </c>
      <c r="AE55" s="93" t="s">
        <v>119</v>
      </c>
      <c r="AF55" s="92" t="s">
        <v>62</v>
      </c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3:46" ht="15" thickBot="1" x14ac:dyDescent="0.25">
      <c r="C56" s="69" t="s">
        <v>167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T56" s="92" t="s">
        <v>30</v>
      </c>
      <c r="U56" s="92">
        <f>SUM(D58:M58)</f>
        <v>0</v>
      </c>
      <c r="V56" s="92" t="s">
        <v>27</v>
      </c>
      <c r="W56" s="94">
        <f>COUNTIF(D56:M56,"&gt;99")-($Y56+$AA56)</f>
        <v>0</v>
      </c>
      <c r="X56" s="92" t="s">
        <v>28</v>
      </c>
      <c r="Y56" s="94">
        <f>COUNTIF($D56:$M56,"&gt;139")-$AA56</f>
        <v>0</v>
      </c>
      <c r="Z56" s="92" t="s">
        <v>29</v>
      </c>
      <c r="AA56" s="92">
        <f>COUNTIF($D56:$M56,"&gt;169")</f>
        <v>0</v>
      </c>
      <c r="AB56" s="92" t="s">
        <v>9</v>
      </c>
      <c r="AC56" s="92">
        <f>IF(U56&gt;0,1,0)</f>
        <v>0</v>
      </c>
      <c r="AD56" s="93"/>
      <c r="AE56" s="93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93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3"/>
      <c r="AE58" s="93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3:46" x14ac:dyDescent="0.2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3"/>
      <c r="AE59" s="93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3:46" x14ac:dyDescent="0.2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3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3:46" x14ac:dyDescent="0.2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3"/>
      <c r="AE61" s="93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3:46" ht="15" x14ac:dyDescent="0.25">
      <c r="C62" s="17" t="s">
        <v>35</v>
      </c>
      <c r="F62" s="15" t="s">
        <v>36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3"/>
      <c r="AE62" s="93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3:46" ht="15" thickBot="1" x14ac:dyDescent="0.25">
      <c r="S63" s="75">
        <f>IF(OR(T75=3,U75=3),1,0)</f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3"/>
      <c r="AE63" s="93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3:46" ht="15" thickBot="1" x14ac:dyDescent="0.25">
      <c r="C64" s="29" t="s">
        <v>37</v>
      </c>
      <c r="D64" s="28">
        <v>3</v>
      </c>
      <c r="E64" s="28">
        <v>6</v>
      </c>
      <c r="F64" s="28">
        <v>9</v>
      </c>
      <c r="G64" s="28">
        <v>12</v>
      </c>
      <c r="H64" s="28">
        <v>15</v>
      </c>
      <c r="I64" s="28">
        <v>18</v>
      </c>
      <c r="J64" s="28">
        <v>21</v>
      </c>
      <c r="K64" s="28">
        <v>24</v>
      </c>
      <c r="L64" s="28">
        <v>27</v>
      </c>
      <c r="M64" s="28">
        <v>30</v>
      </c>
      <c r="N64" s="28">
        <v>33</v>
      </c>
      <c r="O64" s="28">
        <v>36</v>
      </c>
      <c r="P64" s="28">
        <v>39</v>
      </c>
      <c r="Q64" s="28">
        <v>42</v>
      </c>
      <c r="R64" s="28">
        <v>45</v>
      </c>
      <c r="S64" s="28">
        <v>48</v>
      </c>
      <c r="T64" s="92" t="s">
        <v>42</v>
      </c>
      <c r="U64" s="92" t="s">
        <v>43</v>
      </c>
      <c r="V64" s="92" t="s">
        <v>27</v>
      </c>
      <c r="W64" s="92" t="s">
        <v>28</v>
      </c>
      <c r="X64" s="92" t="s">
        <v>29</v>
      </c>
      <c r="Y64" s="92" t="s">
        <v>46</v>
      </c>
      <c r="Z64" s="92" t="s">
        <v>47</v>
      </c>
      <c r="AA64" s="92" t="s">
        <v>48</v>
      </c>
      <c r="AB64" s="92" t="s">
        <v>50</v>
      </c>
      <c r="AC64" s="92" t="s">
        <v>51</v>
      </c>
      <c r="AD64" s="93"/>
      <c r="AE64" s="93"/>
      <c r="AF64" s="92"/>
      <c r="AG64" s="92" t="s">
        <v>52</v>
      </c>
      <c r="AH64" s="92" t="s">
        <v>53</v>
      </c>
      <c r="AI64" s="92" t="s">
        <v>54</v>
      </c>
      <c r="AJ64" s="92"/>
      <c r="AK64" s="92"/>
      <c r="AL64" s="92"/>
      <c r="AM64" s="92" t="s">
        <v>104</v>
      </c>
      <c r="AN64" s="92"/>
      <c r="AO64" s="92"/>
      <c r="AP64" s="92"/>
      <c r="AQ64" s="92"/>
      <c r="AR64" s="92"/>
      <c r="AS64" s="92"/>
      <c r="AT64" s="92"/>
    </row>
    <row r="65" spans="2:46" ht="15" thickBot="1" x14ac:dyDescent="0.25">
      <c r="B65" s="37" t="str">
        <f>IF(SUM(D66:S66)=501,"Darts","")</f>
        <v/>
      </c>
      <c r="C65" s="27"/>
      <c r="D65" s="33">
        <v>501</v>
      </c>
      <c r="E65" s="34">
        <f>IF(D66="",0,D65-D66)</f>
        <v>0</v>
      </c>
      <c r="F65" s="34">
        <f t="shared" ref="F65:S73" si="32">IF(E66="",0,E65-E66)</f>
        <v>0</v>
      </c>
      <c r="G65" s="34">
        <f t="shared" si="32"/>
        <v>0</v>
      </c>
      <c r="H65" s="34">
        <f t="shared" si="32"/>
        <v>0</v>
      </c>
      <c r="I65" s="34">
        <f t="shared" si="32"/>
        <v>0</v>
      </c>
      <c r="J65" s="34">
        <f t="shared" si="32"/>
        <v>0</v>
      </c>
      <c r="K65" s="34">
        <f t="shared" si="32"/>
        <v>0</v>
      </c>
      <c r="L65" s="34">
        <f t="shared" si="32"/>
        <v>0</v>
      </c>
      <c r="M65" s="34">
        <f t="shared" si="32"/>
        <v>0</v>
      </c>
      <c r="N65" s="34">
        <f t="shared" si="32"/>
        <v>0</v>
      </c>
      <c r="O65" s="34">
        <f t="shared" si="32"/>
        <v>0</v>
      </c>
      <c r="P65" s="34">
        <f t="shared" si="32"/>
        <v>0</v>
      </c>
      <c r="Q65" s="34">
        <f t="shared" si="32"/>
        <v>0</v>
      </c>
      <c r="R65" s="34">
        <f t="shared" si="32"/>
        <v>0</v>
      </c>
      <c r="S65" s="34">
        <f t="shared" si="32"/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f>IF(OR(OR(T75&lt;0,T75&gt;3),OR(U75&lt;0,U75&gt;3)),1,0)</f>
        <v>0</v>
      </c>
      <c r="AE65" s="93" t="s">
        <v>120</v>
      </c>
      <c r="AF65" s="92" t="s">
        <v>44</v>
      </c>
      <c r="AG65" s="92">
        <f>IF(OR(B66=1,B66=2,B66=3),B66-3,0)</f>
        <v>0</v>
      </c>
      <c r="AH65" s="92"/>
      <c r="AI65" s="92"/>
      <c r="AJ65" s="92" t="s">
        <v>29</v>
      </c>
      <c r="AK65" s="92" t="s">
        <v>28</v>
      </c>
      <c r="AL65" s="92" t="s">
        <v>27</v>
      </c>
      <c r="AM65" s="92"/>
      <c r="AN65" s="92"/>
      <c r="AO65" s="92"/>
      <c r="AP65" s="92"/>
      <c r="AQ65" s="92"/>
      <c r="AR65" s="92"/>
      <c r="AS65" s="92"/>
      <c r="AT65" s="92"/>
    </row>
    <row r="66" spans="2:46" ht="15" thickBot="1" x14ac:dyDescent="0.25">
      <c r="B66" s="72"/>
      <c r="C66" s="30" t="s">
        <v>40</v>
      </c>
      <c r="D66" s="73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92">
        <f>IF(OR(B66=1,B66=2,B66=3),1,0)</f>
        <v>0</v>
      </c>
      <c r="U66" s="92">
        <f>IF(UPPER(B66)="L",1,0)</f>
        <v>0</v>
      </c>
      <c r="V66" s="94">
        <f>COUNTIF($D66:$S66,"&gt;99")-($X66+W66)</f>
        <v>0</v>
      </c>
      <c r="W66" s="94">
        <f>COUNTIF($D66:$S66,"&gt;139")-$X66</f>
        <v>0</v>
      </c>
      <c r="X66" s="92">
        <f>COUNTIF($D66:$S66,"&gt;169")</f>
        <v>0</v>
      </c>
      <c r="Y66" s="92"/>
      <c r="Z66" s="92">
        <f>IF(AND(ISBLANK(B66),SUM(D66:S66)=0),1,0)</f>
        <v>1</v>
      </c>
      <c r="AA66" s="92"/>
      <c r="AB66" s="92">
        <f>IF(OR(AND(T66=1,NOT(SUM(D66:S66)=501)),AND(U66=1,SUM(D66:S66)=501)),1,0)</f>
        <v>0</v>
      </c>
      <c r="AC66" s="92">
        <f>((16-COUNTBLANK(D66:S66))*3)+AG65</f>
        <v>0</v>
      </c>
      <c r="AD66" s="93">
        <f>IF(SUM(AA72:AA74)&gt;0,1,0)</f>
        <v>0</v>
      </c>
      <c r="AE66" s="93" t="s">
        <v>121</v>
      </c>
      <c r="AF66" s="92" t="s">
        <v>45</v>
      </c>
      <c r="AG66" s="92"/>
      <c r="AH66" s="92">
        <f>V66+2.00001*W66+3.001*X66</f>
        <v>0</v>
      </c>
      <c r="AI66" s="92">
        <f>LARGE(AH66:AH74,1)</f>
        <v>0</v>
      </c>
      <c r="AJ66" s="92">
        <f>ROUND((AI66-ROUND(AI66,0))*1000,0)</f>
        <v>0</v>
      </c>
      <c r="AK66" s="92">
        <f>(AI66-ROUND(AI66,3))*100000</f>
        <v>0</v>
      </c>
      <c r="AL66" s="92">
        <f>ROUND(AI66,0)-(2*AK66)-(3*AJ66)</f>
        <v>0</v>
      </c>
      <c r="AM66" s="92">
        <f>IF(T66=1,AC66,0)</f>
        <v>0</v>
      </c>
      <c r="AN66" s="92"/>
      <c r="AO66" s="92"/>
      <c r="AP66" s="92"/>
      <c r="AQ66" s="92"/>
      <c r="AR66" s="92"/>
      <c r="AS66" s="92"/>
      <c r="AT66" s="92"/>
    </row>
    <row r="67" spans="2:46" ht="15" thickBot="1" x14ac:dyDescent="0.25">
      <c r="B67" s="37" t="str">
        <f>IF(SUM(D68:S68)=501,"Darts","")</f>
        <v/>
      </c>
      <c r="C67" s="30"/>
      <c r="D67" s="34">
        <v>501</v>
      </c>
      <c r="E67" s="34">
        <f>IF(D68="",0,D67-D68)</f>
        <v>0</v>
      </c>
      <c r="F67" s="34">
        <f t="shared" si="32"/>
        <v>0</v>
      </c>
      <c r="G67" s="34">
        <f t="shared" si="32"/>
        <v>0</v>
      </c>
      <c r="H67" s="34">
        <f t="shared" si="32"/>
        <v>0</v>
      </c>
      <c r="I67" s="34">
        <f t="shared" si="32"/>
        <v>0</v>
      </c>
      <c r="J67" s="34">
        <f t="shared" si="32"/>
        <v>0</v>
      </c>
      <c r="K67" s="34">
        <f t="shared" si="32"/>
        <v>0</v>
      </c>
      <c r="L67" s="34">
        <f t="shared" si="32"/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32"/>
        <v>0</v>
      </c>
      <c r="Q67" s="34">
        <f t="shared" si="32"/>
        <v>0</v>
      </c>
      <c r="R67" s="34">
        <f t="shared" si="32"/>
        <v>0</v>
      </c>
      <c r="S67" s="34">
        <f t="shared" si="32"/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f>IF(SUM(AB66:AB74)&gt;0,1,0)</f>
        <v>0</v>
      </c>
      <c r="AE67" s="93" t="s">
        <v>122</v>
      </c>
      <c r="AF67" s="92" t="s">
        <v>49</v>
      </c>
      <c r="AG67" s="92">
        <f>IF(OR(B68=1,B68=2,B68=3),B68-3,0)</f>
        <v>0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2:46" ht="15" thickBot="1" x14ac:dyDescent="0.25">
      <c r="B68" s="72"/>
      <c r="C68" s="35" t="str">
        <f>IF(ISBLANK(C16),"",C16)</f>
        <v xml:space="preserve"> </v>
      </c>
      <c r="D68" s="73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92">
        <f>IF(OR(B68=1,B68=2,B68=3),1,0)</f>
        <v>0</v>
      </c>
      <c r="U68" s="92">
        <f>IF(UPPER(B68)="L",1,0)</f>
        <v>0</v>
      </c>
      <c r="V68" s="94">
        <f>COUNTIF($D68:$S68,"&gt;99")-($X68+W68)</f>
        <v>0</v>
      </c>
      <c r="W68" s="94">
        <f>COUNTIF($D68:$S68,"&gt;139")-$X68</f>
        <v>0</v>
      </c>
      <c r="X68" s="92">
        <f>COUNTIF($D68:$S68,"&gt;169")</f>
        <v>0</v>
      </c>
      <c r="Y68" s="92"/>
      <c r="Z68" s="92">
        <f>IF(AND(ISBLANK(B68),SUM(D68:S68)=0),1,0)</f>
        <v>1</v>
      </c>
      <c r="AA68" s="92"/>
      <c r="AB68" s="92">
        <f>IF(OR(AND(T68=1,NOT(SUM(D68:S68)=501)),AND(U68=1,SUM(D68:S68)=501)),1,0)</f>
        <v>0</v>
      </c>
      <c r="AC68" s="92">
        <f>((16-COUNTBLANK(D68:S68))*3)+AG67</f>
        <v>0</v>
      </c>
      <c r="AD68" s="93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93" t="s">
        <v>122</v>
      </c>
      <c r="AF68" s="92" t="s">
        <v>63</v>
      </c>
      <c r="AG68" s="92"/>
      <c r="AH68" s="92">
        <f>V68+2.00001*W68+3.001*X68</f>
        <v>0</v>
      </c>
      <c r="AI68" s="92">
        <f>LARGE(AH66:AH74,2)</f>
        <v>0</v>
      </c>
      <c r="AJ68" s="92">
        <f>ROUND((AI68-ROUND(AI68,0))*1000,0)</f>
        <v>0</v>
      </c>
      <c r="AK68" s="92">
        <f>(AI68-ROUND(AI68,3))*100000</f>
        <v>0</v>
      </c>
      <c r="AL68" s="92">
        <f>ROUND(AI68,0)-(2*AK68)-(3*AJ68)</f>
        <v>0</v>
      </c>
      <c r="AM68" s="92">
        <f>IF(T68=1,AC68,0)</f>
        <v>0</v>
      </c>
      <c r="AN68" s="92"/>
      <c r="AO68" s="92"/>
      <c r="AP68" s="92"/>
      <c r="AQ68" s="92"/>
      <c r="AR68" s="92"/>
      <c r="AS68" s="92"/>
      <c r="AT68" s="92"/>
    </row>
    <row r="69" spans="2:46" ht="15" thickBot="1" x14ac:dyDescent="0.25">
      <c r="B69" s="37" t="str">
        <f>IF(SUM(D70:S70)=501,"Darts","")</f>
        <v/>
      </c>
      <c r="C69" s="30"/>
      <c r="D69" s="33">
        <v>501</v>
      </c>
      <c r="E69" s="34">
        <f>IF(D70="",0,D69-D70)</f>
        <v>0</v>
      </c>
      <c r="F69" s="34">
        <f t="shared" si="32"/>
        <v>0</v>
      </c>
      <c r="G69" s="34">
        <f t="shared" si="32"/>
        <v>0</v>
      </c>
      <c r="H69" s="34">
        <f t="shared" si="32"/>
        <v>0</v>
      </c>
      <c r="I69" s="34">
        <f t="shared" si="32"/>
        <v>0</v>
      </c>
      <c r="J69" s="34">
        <f t="shared" si="32"/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32"/>
        <v>0</v>
      </c>
      <c r="O69" s="34">
        <f t="shared" si="32"/>
        <v>0</v>
      </c>
      <c r="P69" s="34">
        <f t="shared" si="32"/>
        <v>0</v>
      </c>
      <c r="Q69" s="34">
        <f t="shared" si="32"/>
        <v>0</v>
      </c>
      <c r="R69" s="34">
        <f t="shared" si="32"/>
        <v>0</v>
      </c>
      <c r="S69" s="34">
        <f t="shared" si="32"/>
        <v>0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>
        <f>IF(OR(AND(B66="L",C75&gt;0),AND(B68="L",C76&gt;0),AND(B70="L",C77&gt;0),AND(B72="L",C78&gt;0),AND(B74="L",C79&gt;0)),1,0)</f>
        <v>0</v>
      </c>
      <c r="AE69" s="93" t="s">
        <v>122</v>
      </c>
      <c r="AF69" s="92" t="s">
        <v>67</v>
      </c>
      <c r="AG69" s="92">
        <f>IF(OR(B70=1,B70=2,B70=3),B70-3,0)</f>
        <v>0</v>
      </c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2:46" ht="15" thickBot="1" x14ac:dyDescent="0.25">
      <c r="B70" s="72"/>
      <c r="C70" s="31"/>
      <c r="D70" s="73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92">
        <f>IF(OR(B70=1,B70=2,B70=3),1,0)</f>
        <v>0</v>
      </c>
      <c r="U70" s="92">
        <f>IF(UPPER(B70)="L",1,0)</f>
        <v>0</v>
      </c>
      <c r="V70" s="94">
        <f>COUNTIF($D70:$S70,"&gt;99")-($X70+W70)</f>
        <v>0</v>
      </c>
      <c r="W70" s="94">
        <f>COUNTIF($D70:$S70,"&gt;139")-$X70</f>
        <v>0</v>
      </c>
      <c r="X70" s="92">
        <f>COUNTIF($D70:$S70,"&gt;169")</f>
        <v>0</v>
      </c>
      <c r="Y70" s="92">
        <f>IF(OR(SUM(T66:T70)=3,SUM(U66:U70)=3),1,0)</f>
        <v>0</v>
      </c>
      <c r="Z70" s="92">
        <f>IF(AND(ISBLANK(B70),SUM(D70:S70)=0),1,0)</f>
        <v>1</v>
      </c>
      <c r="AA70" s="92"/>
      <c r="AB70" s="92">
        <f>IF(OR(AND(T70=1,NOT(SUM(D70:S70)=501)),AND(U70=1,SUM(D70:S70)=501)),1,0)</f>
        <v>0</v>
      </c>
      <c r="AC70" s="92">
        <f>((16-COUNTBLANK(D70:S70))*3)+AG69</f>
        <v>0</v>
      </c>
      <c r="AD70" s="93">
        <f>IF(OR(AND(ISNUMBER(B66),C75=0),AND(ISNUMBER(B68),C76=0),AND(ISNUMBER(B70),C77=0),AND(ISNUMBER(B72),C78=0),AND(ISNUMBER(B74),C79=0)),1,0)</f>
        <v>0</v>
      </c>
      <c r="AE70" s="93" t="s">
        <v>122</v>
      </c>
      <c r="AF70" s="92" t="s">
        <v>64</v>
      </c>
      <c r="AG70" s="92"/>
      <c r="AH70" s="92">
        <f>V70+2.00001*W70+3.001*X70</f>
        <v>0</v>
      </c>
      <c r="AI70" s="92">
        <f>LARGE(AH66:AH74,3)</f>
        <v>0</v>
      </c>
      <c r="AJ70" s="92">
        <f>ROUND((AI70-ROUND(AI70,0))*1000,0)</f>
        <v>0</v>
      </c>
      <c r="AK70" s="92">
        <f>(AI70-ROUND(AI70,3))*100000</f>
        <v>0</v>
      </c>
      <c r="AL70" s="92">
        <f>ROUND(AI70,0)-(2*AK70)-(3*AJ70)</f>
        <v>0</v>
      </c>
      <c r="AM70" s="92">
        <f>IF(T70=1,AC70,0)</f>
        <v>0</v>
      </c>
      <c r="AN70" s="92"/>
      <c r="AO70" s="92"/>
      <c r="AP70" s="92"/>
      <c r="AQ70" s="92"/>
      <c r="AR70" s="92"/>
      <c r="AS70" s="92"/>
      <c r="AT70" s="92"/>
    </row>
    <row r="71" spans="2:46" ht="15" thickBot="1" x14ac:dyDescent="0.25">
      <c r="B71" s="37" t="str">
        <f>IF(SUM(D72:S72)=501,"Darts","")</f>
        <v/>
      </c>
      <c r="C71" s="27" t="s">
        <v>41</v>
      </c>
      <c r="D71" s="33">
        <v>501</v>
      </c>
      <c r="E71" s="34">
        <f>IF(D72="",0,D71-D72)</f>
        <v>0</v>
      </c>
      <c r="F71" s="34">
        <f t="shared" si="32"/>
        <v>0</v>
      </c>
      <c r="G71" s="34">
        <f t="shared" si="32"/>
        <v>0</v>
      </c>
      <c r="H71" s="34">
        <f t="shared" si="32"/>
        <v>0</v>
      </c>
      <c r="I71" s="34">
        <f t="shared" si="32"/>
        <v>0</v>
      </c>
      <c r="J71" s="34">
        <f t="shared" si="32"/>
        <v>0</v>
      </c>
      <c r="K71" s="34">
        <f t="shared" si="32"/>
        <v>0</v>
      </c>
      <c r="L71" s="34">
        <f t="shared" si="32"/>
        <v>0</v>
      </c>
      <c r="M71" s="34">
        <f t="shared" si="32"/>
        <v>0</v>
      </c>
      <c r="N71" s="34">
        <f t="shared" si="32"/>
        <v>0</v>
      </c>
      <c r="O71" s="34">
        <f t="shared" si="32"/>
        <v>0</v>
      </c>
      <c r="P71" s="34">
        <f t="shared" si="32"/>
        <v>0</v>
      </c>
      <c r="Q71" s="34">
        <f t="shared" si="32"/>
        <v>0</v>
      </c>
      <c r="R71" s="34">
        <f t="shared" si="32"/>
        <v>0</v>
      </c>
      <c r="S71" s="34">
        <f t="shared" si="32"/>
        <v>0</v>
      </c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3"/>
      <c r="AE71" s="93"/>
      <c r="AF71" s="92"/>
      <c r="AG71" s="92">
        <f>IF(OR(B72=1,B72=2,B72=3),B72-3,0)</f>
        <v>0</v>
      </c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2:46" ht="15" thickBot="1" x14ac:dyDescent="0.25">
      <c r="B72" s="72"/>
      <c r="C72" s="32" t="str">
        <f>IF(S63=1,IF(T75=3,"WON","LOST"),"")</f>
        <v/>
      </c>
      <c r="D72" s="73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92">
        <f>IF(OR(B72=1,B72=2,B72=3),1,0)</f>
        <v>0</v>
      </c>
      <c r="U72" s="92">
        <f>IF(UPPER(B72)="L",1,0)</f>
        <v>0</v>
      </c>
      <c r="V72" s="94">
        <f>COUNTIF($D72:$S72,"&gt;99")-($X72+W72)</f>
        <v>0</v>
      </c>
      <c r="W72" s="94">
        <f>COUNTIF($D72:$S72,"&gt;139")-$X72</f>
        <v>0</v>
      </c>
      <c r="X72" s="92">
        <f>COUNTIF($D72:$S72,"&gt;169")</f>
        <v>0</v>
      </c>
      <c r="Y72" s="92">
        <f>IF(AND(OR(SUM(T66:T72)=3,SUM(U66:U72)=3),Y70=0),1,0)</f>
        <v>0</v>
      </c>
      <c r="Z72" s="92">
        <f>IF(AND(ISBLANK(B72),SUM(D72:S72)=0),1,0)</f>
        <v>1</v>
      </c>
      <c r="AA72" s="92">
        <f>IF(AND(Y70=1,Y72=0,Z72=0),1,0)</f>
        <v>0</v>
      </c>
      <c r="AB72" s="92">
        <f>IF(OR(AND(T72=1,NOT(SUM(D72:S72)=501)),AND(U72=1,SUM(D72:S72)=501)),1,0)</f>
        <v>0</v>
      </c>
      <c r="AC72" s="92">
        <f>((16-COUNTBLANK(D72:S72))*3)+AG71</f>
        <v>0</v>
      </c>
      <c r="AD72" s="93"/>
      <c r="AE72" s="93"/>
      <c r="AF72" s="92"/>
      <c r="AG72" s="92"/>
      <c r="AH72" s="92">
        <f>V72+2.00001*W72+3.001*X72</f>
        <v>0</v>
      </c>
      <c r="AI72" s="92" t="s">
        <v>55</v>
      </c>
      <c r="AJ72" s="92">
        <f>SUM(AJ66:AJ70)</f>
        <v>0</v>
      </c>
      <c r="AK72" s="92">
        <f>SUM(AK66:AK70)</f>
        <v>0</v>
      </c>
      <c r="AL72" s="92">
        <f>SUM(AL66:AL70)</f>
        <v>0</v>
      </c>
      <c r="AM72" s="92">
        <f>IF(T72=1,AC72,0)</f>
        <v>0</v>
      </c>
      <c r="AN72" s="92"/>
      <c r="AO72" s="92"/>
      <c r="AP72" s="92"/>
      <c r="AQ72" s="92"/>
      <c r="AR72" s="92"/>
      <c r="AS72" s="92"/>
      <c r="AT72" s="92"/>
    </row>
    <row r="73" spans="2:46" ht="15" thickBot="1" x14ac:dyDescent="0.25">
      <c r="B73" s="37" t="str">
        <f>IF(SUM(D74:S74)=501,"Darts","")</f>
        <v/>
      </c>
      <c r="C73" s="32" t="str">
        <f>IF(OR(S63=1,A1=1),ROUND(SUM(D66:S66,D68:S68,D70:S70,D72:S72,D74:S74)/SUM(AC66:AC74),2),"")</f>
        <v/>
      </c>
      <c r="D73" s="33">
        <v>501</v>
      </c>
      <c r="E73" s="34">
        <f>IF(D74="",0,D73-D74)</f>
        <v>0</v>
      </c>
      <c r="F73" s="34">
        <f t="shared" si="32"/>
        <v>0</v>
      </c>
      <c r="G73" s="34">
        <f t="shared" si="32"/>
        <v>0</v>
      </c>
      <c r="H73" s="34">
        <f t="shared" si="32"/>
        <v>0</v>
      </c>
      <c r="I73" s="34">
        <f t="shared" si="32"/>
        <v>0</v>
      </c>
      <c r="J73" s="34">
        <f t="shared" si="32"/>
        <v>0</v>
      </c>
      <c r="K73" s="34">
        <f t="shared" si="32"/>
        <v>0</v>
      </c>
      <c r="L73" s="34">
        <f t="shared" si="32"/>
        <v>0</v>
      </c>
      <c r="M73" s="34">
        <f t="shared" si="32"/>
        <v>0</v>
      </c>
      <c r="N73" s="34">
        <f t="shared" si="32"/>
        <v>0</v>
      </c>
      <c r="O73" s="34">
        <f t="shared" si="32"/>
        <v>0</v>
      </c>
      <c r="P73" s="34">
        <f t="shared" si="32"/>
        <v>0</v>
      </c>
      <c r="Q73" s="34">
        <f t="shared" si="32"/>
        <v>0</v>
      </c>
      <c r="R73" s="34">
        <f t="shared" si="32"/>
        <v>0</v>
      </c>
      <c r="S73" s="34">
        <f t="shared" si="32"/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2"/>
      <c r="AG73" s="92">
        <f>IF(OR(B74=1,B74=2,B74=3),B74-3,0)</f>
        <v>0</v>
      </c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2:46" ht="15" thickBot="1" x14ac:dyDescent="0.25">
      <c r="B74" s="72"/>
      <c r="C74" s="31"/>
      <c r="D74" s="7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92">
        <f>IF(OR(B74=1,B74=2,B74=3),1,0)</f>
        <v>0</v>
      </c>
      <c r="U74" s="92">
        <f>IF(UPPER(B74)="L",1,0)</f>
        <v>0</v>
      </c>
      <c r="V74" s="94">
        <f>COUNTIF($D74:$S74,"&gt;99")-($X74+W74)</f>
        <v>0</v>
      </c>
      <c r="W74" s="94">
        <f>COUNTIF($D74:$S74,"&gt;139")-$X74</f>
        <v>0</v>
      </c>
      <c r="X74" s="92">
        <f>COUNTIF($D74:$S74,"&gt;169")</f>
        <v>0</v>
      </c>
      <c r="Y74" s="92">
        <f>IF(AND(OR(SUM(T66:T74)=3,SUM(U66:U74)=3),Y72=0,Y70=0),1,0)</f>
        <v>0</v>
      </c>
      <c r="Z74" s="92">
        <f>IF(AND(ISBLANK(B74),SUM(D74:S74)=0),1,0)</f>
        <v>1</v>
      </c>
      <c r="AA74" s="92">
        <f>IF(AND(Y74=0,Z74=0),1,0)</f>
        <v>0</v>
      </c>
      <c r="AB74" s="92">
        <f>IF(OR(AND(T74=1,NOT(SUM(D74:S74)=501)),AND(U74=1,SUM(D74:S74)=501)),1,0)</f>
        <v>0</v>
      </c>
      <c r="AC74" s="92">
        <f>((16-COUNTBLANK(D74:S74))*3)+AG73</f>
        <v>0</v>
      </c>
      <c r="AD74" s="93"/>
      <c r="AE74" s="93"/>
      <c r="AF74" s="92"/>
      <c r="AG74" s="92"/>
      <c r="AH74" s="92">
        <f>V74+2.00001*W74+3.001*X74</f>
        <v>0</v>
      </c>
      <c r="AI74" s="92"/>
      <c r="AJ74" s="92"/>
      <c r="AK74" s="92"/>
      <c r="AL74" s="92"/>
      <c r="AM74" s="92">
        <f>IF(T74=1,AC74,0)</f>
        <v>0</v>
      </c>
      <c r="AN74" s="92"/>
      <c r="AO74" s="92"/>
      <c r="AP74" s="92"/>
      <c r="AQ74" s="92"/>
      <c r="AR74" s="92"/>
      <c r="AS74" s="92"/>
      <c r="AT74" s="92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92">
        <f>SUM(T66:T74)</f>
        <v>0</v>
      </c>
      <c r="U75" s="92">
        <f>SUM(U66:U74)</f>
        <v>0</v>
      </c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2:46" ht="15" thickBot="1" x14ac:dyDescent="0.25">
      <c r="S80" s="75">
        <f>IF(OR(T92=3,U92=3),1,0)</f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2:46" ht="15" thickBot="1" x14ac:dyDescent="0.25">
      <c r="C81" s="29" t="s">
        <v>68</v>
      </c>
      <c r="D81" s="28">
        <v>3</v>
      </c>
      <c r="E81" s="28">
        <v>6</v>
      </c>
      <c r="F81" s="28">
        <v>9</v>
      </c>
      <c r="G81" s="28">
        <v>12</v>
      </c>
      <c r="H81" s="28">
        <v>15</v>
      </c>
      <c r="I81" s="28">
        <v>18</v>
      </c>
      <c r="J81" s="28">
        <v>21</v>
      </c>
      <c r="K81" s="28">
        <v>24</v>
      </c>
      <c r="L81" s="28">
        <v>27</v>
      </c>
      <c r="M81" s="28">
        <v>30</v>
      </c>
      <c r="N81" s="28">
        <v>33</v>
      </c>
      <c r="O81" s="28">
        <v>36</v>
      </c>
      <c r="P81" s="28">
        <v>39</v>
      </c>
      <c r="Q81" s="28">
        <v>42</v>
      </c>
      <c r="R81" s="28">
        <v>45</v>
      </c>
      <c r="S81" s="28">
        <v>48</v>
      </c>
      <c r="T81" s="92" t="s">
        <v>42</v>
      </c>
      <c r="U81" s="92" t="s">
        <v>43</v>
      </c>
      <c r="V81" s="92" t="s">
        <v>27</v>
      </c>
      <c r="W81" s="92" t="s">
        <v>28</v>
      </c>
      <c r="X81" s="92" t="s">
        <v>29</v>
      </c>
      <c r="Y81" s="92" t="s">
        <v>46</v>
      </c>
      <c r="Z81" s="92" t="s">
        <v>47</v>
      </c>
      <c r="AA81" s="92" t="s">
        <v>48</v>
      </c>
      <c r="AB81" s="92" t="s">
        <v>50</v>
      </c>
      <c r="AC81" s="92" t="s">
        <v>51</v>
      </c>
      <c r="AD81" s="93"/>
      <c r="AE81" s="93"/>
      <c r="AF81" s="92"/>
      <c r="AG81" s="92" t="s">
        <v>52</v>
      </c>
      <c r="AH81" s="92" t="s">
        <v>53</v>
      </c>
      <c r="AI81" s="92" t="s">
        <v>54</v>
      </c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2:46" ht="15" thickBot="1" x14ac:dyDescent="0.25">
      <c r="B82" s="37" t="str">
        <f>IF(SUM(D83:S83)=501,"Darts","")</f>
        <v/>
      </c>
      <c r="C82" s="27"/>
      <c r="D82" s="33">
        <v>501</v>
      </c>
      <c r="E82" s="34">
        <f>IF(D83="",0,D82-D83)</f>
        <v>0</v>
      </c>
      <c r="F82" s="34">
        <f t="shared" ref="F82:S82" si="38">IF(E83="",0,E82-E83)</f>
        <v>0</v>
      </c>
      <c r="G82" s="34">
        <f t="shared" si="38"/>
        <v>0</v>
      </c>
      <c r="H82" s="34">
        <f t="shared" si="38"/>
        <v>0</v>
      </c>
      <c r="I82" s="34">
        <f t="shared" si="38"/>
        <v>0</v>
      </c>
      <c r="J82" s="34">
        <f t="shared" si="38"/>
        <v>0</v>
      </c>
      <c r="K82" s="34">
        <f t="shared" si="38"/>
        <v>0</v>
      </c>
      <c r="L82" s="34">
        <f t="shared" si="38"/>
        <v>0</v>
      </c>
      <c r="M82" s="34">
        <f t="shared" si="38"/>
        <v>0</v>
      </c>
      <c r="N82" s="34">
        <f t="shared" si="38"/>
        <v>0</v>
      </c>
      <c r="O82" s="34">
        <f t="shared" si="38"/>
        <v>0</v>
      </c>
      <c r="P82" s="34">
        <f t="shared" si="38"/>
        <v>0</v>
      </c>
      <c r="Q82" s="34">
        <f t="shared" si="38"/>
        <v>0</v>
      </c>
      <c r="R82" s="34">
        <f t="shared" si="38"/>
        <v>0</v>
      </c>
      <c r="S82" s="34">
        <f t="shared" si="38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3">
        <f>IF(OR(OR(T92&lt;0,T92&gt;3),OR(U92&lt;0,U92&gt;3)),1,0)</f>
        <v>0</v>
      </c>
      <c r="AE82" s="93" t="s">
        <v>123</v>
      </c>
      <c r="AF82" s="92" t="s">
        <v>44</v>
      </c>
      <c r="AG82" s="92">
        <f>IF(OR(B83=1,B83=2,B83=3),B83-3,0)</f>
        <v>0</v>
      </c>
      <c r="AH82" s="92"/>
      <c r="AI82" s="92"/>
      <c r="AJ82" s="92" t="s">
        <v>29</v>
      </c>
      <c r="AK82" s="92" t="s">
        <v>28</v>
      </c>
      <c r="AL82" s="92" t="s">
        <v>27</v>
      </c>
      <c r="AM82" s="92"/>
      <c r="AN82" s="92"/>
      <c r="AO82" s="92"/>
      <c r="AP82" s="92"/>
      <c r="AQ82" s="92"/>
      <c r="AR82" s="92"/>
      <c r="AS82" s="92"/>
      <c r="AT82" s="92"/>
    </row>
    <row r="83" spans="2:46" ht="15" thickBot="1" x14ac:dyDescent="0.25">
      <c r="B83" s="72"/>
      <c r="C83" s="30" t="s">
        <v>40</v>
      </c>
      <c r="D83" s="7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92">
        <f>IF(OR(B83=1,B83=2,B83=3),1,0)</f>
        <v>0</v>
      </c>
      <c r="U83" s="92">
        <f>IF(UPPER(B83)="L",1,0)</f>
        <v>0</v>
      </c>
      <c r="V83" s="94">
        <f>COUNTIF($D83:$S83,"&gt;99")-($X83+W83)</f>
        <v>0</v>
      </c>
      <c r="W83" s="94">
        <f>COUNTIF($D83:$S83,"&gt;139")-$X83</f>
        <v>0</v>
      </c>
      <c r="X83" s="92">
        <f>COUNTIF($D83:$S83,"&gt;169")</f>
        <v>0</v>
      </c>
      <c r="Y83" s="92"/>
      <c r="Z83" s="92">
        <f>IF(AND(ISBLANK(B83),SUM(D83:S83)=0),1,0)</f>
        <v>1</v>
      </c>
      <c r="AA83" s="92"/>
      <c r="AB83" s="92">
        <f>IF(OR(AND(T83=1,NOT(SUM(D83:S83)=501)),AND(U83=1,SUM(D83:S83)=501)),1,0)</f>
        <v>0</v>
      </c>
      <c r="AC83" s="92">
        <f>((16-COUNTBLANK(D83:S83))*3)+AG82</f>
        <v>0</v>
      </c>
      <c r="AD83" s="93">
        <f>IF(SUM(AA89:AA91)&gt;0,1,0)</f>
        <v>0</v>
      </c>
      <c r="AE83" s="93" t="s">
        <v>124</v>
      </c>
      <c r="AF83" s="92" t="s">
        <v>45</v>
      </c>
      <c r="AG83" s="92"/>
      <c r="AH83" s="92">
        <f>V83+2.00001*W83+3.001*X83</f>
        <v>0</v>
      </c>
      <c r="AI83" s="92">
        <f>LARGE(AH83:AH91,1)</f>
        <v>0</v>
      </c>
      <c r="AJ83" s="92">
        <f>ROUND((AI83-ROUND(AI83,0))*1000,0)</f>
        <v>0</v>
      </c>
      <c r="AK83" s="92">
        <f>(AI83-ROUND(AI83,3))*100000</f>
        <v>0</v>
      </c>
      <c r="AL83" s="92">
        <f>ROUND(AI83,0)-(2*AK83)-(3*AJ83)</f>
        <v>0</v>
      </c>
      <c r="AM83" s="92">
        <f>IF(T83=1,AC83,0)</f>
        <v>0</v>
      </c>
      <c r="AN83" s="92"/>
      <c r="AO83" s="92"/>
      <c r="AP83" s="92"/>
      <c r="AQ83" s="92"/>
      <c r="AR83" s="92"/>
      <c r="AS83" s="92"/>
      <c r="AT83" s="92"/>
    </row>
    <row r="84" spans="2:46" ht="15" thickBot="1" x14ac:dyDescent="0.25">
      <c r="B84" s="37" t="str">
        <f>IF(SUM(D85:S85)=501,"Darts","")</f>
        <v/>
      </c>
      <c r="C84" s="30"/>
      <c r="D84" s="34">
        <v>501</v>
      </c>
      <c r="E84" s="34">
        <f>IF(D85="",0,D84-D85)</f>
        <v>0</v>
      </c>
      <c r="F84" s="34">
        <f t="shared" ref="F84:S84" si="39">IF(E85="",0,E84-E85)</f>
        <v>0</v>
      </c>
      <c r="G84" s="34">
        <f t="shared" si="39"/>
        <v>0</v>
      </c>
      <c r="H84" s="34">
        <f t="shared" si="39"/>
        <v>0</v>
      </c>
      <c r="I84" s="34">
        <f t="shared" si="39"/>
        <v>0</v>
      </c>
      <c r="J84" s="34">
        <f t="shared" si="39"/>
        <v>0</v>
      </c>
      <c r="K84" s="34">
        <f t="shared" si="39"/>
        <v>0</v>
      </c>
      <c r="L84" s="34">
        <f t="shared" si="39"/>
        <v>0</v>
      </c>
      <c r="M84" s="34">
        <f t="shared" si="39"/>
        <v>0</v>
      </c>
      <c r="N84" s="34">
        <f t="shared" si="39"/>
        <v>0</v>
      </c>
      <c r="O84" s="34">
        <f t="shared" si="39"/>
        <v>0</v>
      </c>
      <c r="P84" s="34">
        <f t="shared" si="39"/>
        <v>0</v>
      </c>
      <c r="Q84" s="34">
        <f t="shared" si="39"/>
        <v>0</v>
      </c>
      <c r="R84" s="34">
        <f t="shared" si="39"/>
        <v>0</v>
      </c>
      <c r="S84" s="34">
        <f t="shared" si="39"/>
        <v>0</v>
      </c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3">
        <f>IF(SUM(AB83:AB91)&gt;0,1,0)</f>
        <v>0</v>
      </c>
      <c r="AE84" s="93" t="s">
        <v>125</v>
      </c>
      <c r="AF84" s="92" t="s">
        <v>49</v>
      </c>
      <c r="AG84" s="92">
        <f>IF(OR(B85=1,B85=2,B85=3),B85-3,0)</f>
        <v>0</v>
      </c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2:46" ht="15" thickBot="1" x14ac:dyDescent="0.25">
      <c r="B85" s="72"/>
      <c r="C85" s="35" t="str">
        <f>IF(ISBLANK(C17),"",C17)</f>
        <v xml:space="preserve"> </v>
      </c>
      <c r="D85" s="7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92">
        <f>IF(OR(B85=1,B85=2,B85=3),1,0)</f>
        <v>0</v>
      </c>
      <c r="U85" s="92">
        <f>IF(UPPER(B85)="L",1,0)</f>
        <v>0</v>
      </c>
      <c r="V85" s="94">
        <f>COUNTIF($D85:$S85,"&gt;99")-($X85+W85)</f>
        <v>0</v>
      </c>
      <c r="W85" s="94">
        <f>COUNTIF($D85:$S85,"&gt;139")-$X85</f>
        <v>0</v>
      </c>
      <c r="X85" s="92">
        <f>COUNTIF($D85:$S85,"&gt;169")</f>
        <v>0</v>
      </c>
      <c r="Y85" s="92"/>
      <c r="Z85" s="92">
        <f>IF(AND(ISBLANK(B85),SUM(D85:S85)=0),1,0)</f>
        <v>1</v>
      </c>
      <c r="AA85" s="92"/>
      <c r="AB85" s="92">
        <f>IF(OR(AND(T85=1,NOT(SUM(D85:S85)=501)),AND(U85=1,SUM(D85:S85)=501)),1,0)</f>
        <v>0</v>
      </c>
      <c r="AC85" s="92">
        <f>((16-COUNTBLANK(D85:S85))*3)+AG84</f>
        <v>0</v>
      </c>
      <c r="AD85" s="93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93" t="s">
        <v>125</v>
      </c>
      <c r="AF85" s="92" t="s">
        <v>63</v>
      </c>
      <c r="AG85" s="92"/>
      <c r="AH85" s="92">
        <f>V85+2.00001*W85+3.001*X85</f>
        <v>0</v>
      </c>
      <c r="AI85" s="92">
        <f>LARGE(AH83:AH91,2)</f>
        <v>0</v>
      </c>
      <c r="AJ85" s="92">
        <f>ROUND((AI85-ROUND(AI85,0))*1000,0)</f>
        <v>0</v>
      </c>
      <c r="AK85" s="92">
        <f>(AI85-ROUND(AI85,3))*100000</f>
        <v>0</v>
      </c>
      <c r="AL85" s="92">
        <f>ROUND(AI85,0)-(2*AK85)-(3*AJ85)</f>
        <v>0</v>
      </c>
      <c r="AM85" s="92">
        <f>IF(T85=1,AC85,0)</f>
        <v>0</v>
      </c>
      <c r="AN85" s="92"/>
      <c r="AO85" s="92"/>
      <c r="AP85" s="92"/>
      <c r="AQ85" s="92"/>
      <c r="AR85" s="92"/>
      <c r="AS85" s="92"/>
      <c r="AT85" s="92"/>
    </row>
    <row r="86" spans="2:46" ht="15" thickBot="1" x14ac:dyDescent="0.25">
      <c r="B86" s="37" t="str">
        <f>IF(SUM(D87:S87)=501,"Darts","")</f>
        <v/>
      </c>
      <c r="C86" s="30"/>
      <c r="D86" s="33">
        <v>501</v>
      </c>
      <c r="E86" s="34">
        <f>IF(D87="",0,D86-D87)</f>
        <v>0</v>
      </c>
      <c r="F86" s="34">
        <f t="shared" ref="F86:S86" si="40">IF(E87="",0,E86-E87)</f>
        <v>0</v>
      </c>
      <c r="G86" s="34">
        <f t="shared" si="40"/>
        <v>0</v>
      </c>
      <c r="H86" s="34">
        <f t="shared" si="40"/>
        <v>0</v>
      </c>
      <c r="I86" s="34">
        <f t="shared" si="40"/>
        <v>0</v>
      </c>
      <c r="J86" s="34">
        <f t="shared" si="40"/>
        <v>0</v>
      </c>
      <c r="K86" s="34">
        <f t="shared" si="40"/>
        <v>0</v>
      </c>
      <c r="L86" s="34">
        <f t="shared" si="40"/>
        <v>0</v>
      </c>
      <c r="M86" s="34">
        <f t="shared" si="40"/>
        <v>0</v>
      </c>
      <c r="N86" s="34">
        <f t="shared" si="40"/>
        <v>0</v>
      </c>
      <c r="O86" s="34">
        <f t="shared" si="40"/>
        <v>0</v>
      </c>
      <c r="P86" s="34">
        <f t="shared" si="40"/>
        <v>0</v>
      </c>
      <c r="Q86" s="34">
        <f t="shared" si="40"/>
        <v>0</v>
      </c>
      <c r="R86" s="34">
        <f t="shared" si="40"/>
        <v>0</v>
      </c>
      <c r="S86" s="34">
        <f t="shared" si="40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3">
        <f>IF(OR(AND(B83="L",C92&gt;0),AND(B85="L",C93&gt;0),AND(B87="L",C94&gt;0),AND(B89="L",C95&gt;0),AND(B91="L",C96&gt;0)),1,0)</f>
        <v>0</v>
      </c>
      <c r="AE86" s="93" t="s">
        <v>125</v>
      </c>
      <c r="AF86" s="92" t="s">
        <v>67</v>
      </c>
      <c r="AG86" s="92">
        <f>IF(OR(B87=1,B87=2,B87=3),B87-3,0)</f>
        <v>0</v>
      </c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2:46" ht="15" thickBot="1" x14ac:dyDescent="0.25">
      <c r="B87" s="72"/>
      <c r="C87" s="31"/>
      <c r="D87" s="7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92">
        <f>IF(OR(B87=1,B87=2,B87=3),1,0)</f>
        <v>0</v>
      </c>
      <c r="U87" s="92">
        <f>IF(UPPER(B87)="L",1,0)</f>
        <v>0</v>
      </c>
      <c r="V87" s="94">
        <f>COUNTIF($D87:$S87,"&gt;99")-($X87+W87)</f>
        <v>0</v>
      </c>
      <c r="W87" s="94">
        <f>COUNTIF($D87:$S87,"&gt;139")-$X87</f>
        <v>0</v>
      </c>
      <c r="X87" s="92">
        <f>COUNTIF($D87:$S87,"&gt;169")</f>
        <v>0</v>
      </c>
      <c r="Y87" s="92">
        <f>IF(OR(SUM(T83:T87)=3,SUM(U83:U87)=3),1,0)</f>
        <v>0</v>
      </c>
      <c r="Z87" s="92">
        <f>IF(AND(ISBLANK(B87),SUM(D87:S87)=0),1,0)</f>
        <v>1</v>
      </c>
      <c r="AA87" s="92"/>
      <c r="AB87" s="92">
        <f>IF(OR(AND(T87=1,NOT(SUM(D87:S87)=501)),AND(U87=1,SUM(D87:S87)=501)),1,0)</f>
        <v>0</v>
      </c>
      <c r="AC87" s="92">
        <f>((16-COUNTBLANK(D87:S87))*3)+AG86</f>
        <v>0</v>
      </c>
      <c r="AD87" s="93">
        <f>IF(OR(AND(ISNUMBER(B83),C92=0),AND(ISNUMBER(B85),C93=0),AND(ISNUMBER(B87),C94=0),AND(ISNUMBER(B89),C95=0),AND(ISNUMBER(B91),C96=0)),1,0)</f>
        <v>0</v>
      </c>
      <c r="AE87" s="93" t="s">
        <v>125</v>
      </c>
      <c r="AF87" s="92" t="s">
        <v>64</v>
      </c>
      <c r="AG87" s="92"/>
      <c r="AH87" s="92">
        <f>V87+2.00001*W87+3.001*X87</f>
        <v>0</v>
      </c>
      <c r="AI87" s="92">
        <f>LARGE(AH83:AH91,3)</f>
        <v>0</v>
      </c>
      <c r="AJ87" s="92">
        <f>ROUND((AI87-ROUND(AI87,0))*1000,0)</f>
        <v>0</v>
      </c>
      <c r="AK87" s="92">
        <f>(AI87-ROUND(AI87,3))*100000</f>
        <v>0</v>
      </c>
      <c r="AL87" s="92">
        <f>ROUND(AI87,0)-(2*AK87)-(3*AJ87)</f>
        <v>0</v>
      </c>
      <c r="AM87" s="92">
        <f>IF(T87=1,AC87,0)</f>
        <v>0</v>
      </c>
      <c r="AN87" s="92"/>
      <c r="AO87" s="92"/>
      <c r="AP87" s="92"/>
      <c r="AQ87" s="92"/>
      <c r="AR87" s="92"/>
      <c r="AS87" s="92"/>
      <c r="AT87" s="92"/>
    </row>
    <row r="88" spans="2:46" ht="15" thickBot="1" x14ac:dyDescent="0.25">
      <c r="B88" s="37" t="str">
        <f>IF(SUM(D89:S89)=501,"Darts","")</f>
        <v/>
      </c>
      <c r="C88" s="27" t="s">
        <v>41</v>
      </c>
      <c r="D88" s="33">
        <v>501</v>
      </c>
      <c r="E88" s="34">
        <f>IF(D89="",0,D88-D89)</f>
        <v>0</v>
      </c>
      <c r="F88" s="34">
        <f t="shared" ref="F88:S88" si="41">IF(E89="",0,E88-E89)</f>
        <v>0</v>
      </c>
      <c r="G88" s="34">
        <f t="shared" si="41"/>
        <v>0</v>
      </c>
      <c r="H88" s="34">
        <f t="shared" si="41"/>
        <v>0</v>
      </c>
      <c r="I88" s="34">
        <f t="shared" si="41"/>
        <v>0</v>
      </c>
      <c r="J88" s="34">
        <f t="shared" si="41"/>
        <v>0</v>
      </c>
      <c r="K88" s="34">
        <f t="shared" si="41"/>
        <v>0</v>
      </c>
      <c r="L88" s="34">
        <f t="shared" si="41"/>
        <v>0</v>
      </c>
      <c r="M88" s="34">
        <f t="shared" si="41"/>
        <v>0</v>
      </c>
      <c r="N88" s="34">
        <f t="shared" si="41"/>
        <v>0</v>
      </c>
      <c r="O88" s="34">
        <f t="shared" si="41"/>
        <v>0</v>
      </c>
      <c r="P88" s="34">
        <f t="shared" si="41"/>
        <v>0</v>
      </c>
      <c r="Q88" s="34">
        <f t="shared" si="41"/>
        <v>0</v>
      </c>
      <c r="R88" s="34">
        <f t="shared" si="41"/>
        <v>0</v>
      </c>
      <c r="S88" s="34">
        <f t="shared" si="41"/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3"/>
      <c r="AE88" s="93"/>
      <c r="AF88" s="92"/>
      <c r="AG88" s="92">
        <f>IF(OR(B89=1,B89=2,B89=3),B89-3,0)</f>
        <v>0</v>
      </c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2:46" ht="15" thickBot="1" x14ac:dyDescent="0.25">
      <c r="B89" s="72"/>
      <c r="C89" s="32" t="str">
        <f>IF(S80=1,IF(T92=3,"WON","LOST"),"")</f>
        <v/>
      </c>
      <c r="D89" s="7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92">
        <f>IF(OR(B89=1,B89=2,B89=3),1,0)</f>
        <v>0</v>
      </c>
      <c r="U89" s="92">
        <f>IF(UPPER(B89)="L",1,0)</f>
        <v>0</v>
      </c>
      <c r="V89" s="94">
        <f>COUNTIF($D89:$S89,"&gt;99")-($X89+W89)</f>
        <v>0</v>
      </c>
      <c r="W89" s="94">
        <f>COUNTIF($D89:$S89,"&gt;139")-$X89</f>
        <v>0</v>
      </c>
      <c r="X89" s="92">
        <f>COUNTIF($D89:$S89,"&gt;169")</f>
        <v>0</v>
      </c>
      <c r="Y89" s="92">
        <f>IF(AND(OR(SUM(T83:T89)=3,SUM(U83:U89)=3),Y87=0),1,0)</f>
        <v>0</v>
      </c>
      <c r="Z89" s="92">
        <f>IF(AND(ISBLANK(B89),SUM(D89:S89)=0),1,0)</f>
        <v>1</v>
      </c>
      <c r="AA89" s="92">
        <f>IF(AND(Y87=1,Y89=0,Z89=0),1,0)</f>
        <v>0</v>
      </c>
      <c r="AB89" s="92">
        <f>IF(OR(AND(T89=1,NOT(SUM(D89:S89)=501)),AND(U89=1,SUM(D89:S89)=501)),1,0)</f>
        <v>0</v>
      </c>
      <c r="AC89" s="92">
        <f>((16-COUNTBLANK(D89:S89))*3)+AG88</f>
        <v>0</v>
      </c>
      <c r="AD89" s="93"/>
      <c r="AE89" s="93"/>
      <c r="AF89" s="92"/>
      <c r="AG89" s="92"/>
      <c r="AH89" s="92">
        <f>V89+2.00001*W89+3.001*X89</f>
        <v>0</v>
      </c>
      <c r="AI89" s="92" t="s">
        <v>55</v>
      </c>
      <c r="AJ89" s="92">
        <f>SUM(AJ83:AJ87)</f>
        <v>0</v>
      </c>
      <c r="AK89" s="92">
        <f>SUM(AK83:AK87)</f>
        <v>0</v>
      </c>
      <c r="AL89" s="92">
        <f>SUM(AL83:AL87)</f>
        <v>0</v>
      </c>
      <c r="AM89" s="92">
        <f>IF(T89=1,AC89,0)</f>
        <v>0</v>
      </c>
      <c r="AN89" s="92"/>
      <c r="AO89" s="92"/>
      <c r="AP89" s="92"/>
      <c r="AQ89" s="92"/>
      <c r="AR89" s="92"/>
      <c r="AS89" s="92"/>
      <c r="AT89" s="92"/>
    </row>
    <row r="90" spans="2:46" ht="15" thickBot="1" x14ac:dyDescent="0.25">
      <c r="B90" s="37" t="str">
        <f>IF(SUM(D91:S91)=501,"Darts","")</f>
        <v/>
      </c>
      <c r="C90" s="32" t="str">
        <f>IF(OR(S80=1,A18=1),ROUND(SUM(D83:S83,D85:S85,D87:S87,D89:S89,D91:S91)/SUM(AC83:AC91),2),"")</f>
        <v/>
      </c>
      <c r="D90" s="33">
        <v>501</v>
      </c>
      <c r="E90" s="34">
        <f>IF(D91="",0,D90-D91)</f>
        <v>0</v>
      </c>
      <c r="F90" s="34">
        <f t="shared" ref="F90:S90" si="42">IF(E91="",0,E90-E91)</f>
        <v>0</v>
      </c>
      <c r="G90" s="34">
        <f t="shared" si="42"/>
        <v>0</v>
      </c>
      <c r="H90" s="34">
        <f t="shared" si="42"/>
        <v>0</v>
      </c>
      <c r="I90" s="34">
        <f t="shared" si="42"/>
        <v>0</v>
      </c>
      <c r="J90" s="34">
        <f t="shared" si="42"/>
        <v>0</v>
      </c>
      <c r="K90" s="34">
        <f t="shared" si="42"/>
        <v>0</v>
      </c>
      <c r="L90" s="34">
        <f t="shared" si="42"/>
        <v>0</v>
      </c>
      <c r="M90" s="34">
        <f t="shared" si="42"/>
        <v>0</v>
      </c>
      <c r="N90" s="34">
        <f t="shared" si="42"/>
        <v>0</v>
      </c>
      <c r="O90" s="34">
        <f t="shared" si="42"/>
        <v>0</v>
      </c>
      <c r="P90" s="34">
        <f t="shared" si="42"/>
        <v>0</v>
      </c>
      <c r="Q90" s="34">
        <f t="shared" si="42"/>
        <v>0</v>
      </c>
      <c r="R90" s="34">
        <f t="shared" si="42"/>
        <v>0</v>
      </c>
      <c r="S90" s="34">
        <f t="shared" si="42"/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3"/>
      <c r="AE90" s="93"/>
      <c r="AF90" s="92"/>
      <c r="AG90" s="92">
        <f>IF(OR(B91=1,B91=2,B91=3),B91-3,0)</f>
        <v>0</v>
      </c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2:46" ht="15" thickBot="1" x14ac:dyDescent="0.25">
      <c r="B91" s="72"/>
      <c r="C91" s="31"/>
      <c r="D91" s="7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92">
        <f>IF(OR(B91=1,B91=2,B91=3),1,0)</f>
        <v>0</v>
      </c>
      <c r="U91" s="92">
        <f>IF(UPPER(B91)="L",1,0)</f>
        <v>0</v>
      </c>
      <c r="V91" s="94">
        <f>COUNTIF($D91:$S91,"&gt;99")-($X91+W91)</f>
        <v>0</v>
      </c>
      <c r="W91" s="94">
        <f>COUNTIF($D91:$S91,"&gt;139")-$X91</f>
        <v>0</v>
      </c>
      <c r="X91" s="92">
        <f>COUNTIF($D91:$S91,"&gt;169")</f>
        <v>0</v>
      </c>
      <c r="Y91" s="92">
        <f>IF(AND(OR(SUM(T83:T91)=3,SUM(U83:U91)=3),Y89=0,Y87=0),1,0)</f>
        <v>0</v>
      </c>
      <c r="Z91" s="92">
        <f>IF(AND(ISBLANK(B91),SUM(D91:S91)=0),1,0)</f>
        <v>1</v>
      </c>
      <c r="AA91" s="92">
        <f>IF(AND(Y91=0,Z91=0),1,0)</f>
        <v>0</v>
      </c>
      <c r="AB91" s="92">
        <f>IF(OR(AND(T91=1,NOT(SUM(D91:S91)=501)),AND(U91=1,SUM(D91:S91)=501)),1,0)</f>
        <v>0</v>
      </c>
      <c r="AC91" s="92">
        <f>((16-COUNTBLANK(D91:S91))*3)+AG90</f>
        <v>0</v>
      </c>
      <c r="AD91" s="93"/>
      <c r="AE91" s="93"/>
      <c r="AF91" s="92"/>
      <c r="AG91" s="92"/>
      <c r="AH91" s="92">
        <f>V91+2.00001*W91+3.001*X91</f>
        <v>0</v>
      </c>
      <c r="AI91" s="92"/>
      <c r="AJ91" s="92"/>
      <c r="AK91" s="92"/>
      <c r="AL91" s="92"/>
      <c r="AM91" s="92">
        <f>IF(T91=1,AC91,0)</f>
        <v>0</v>
      </c>
      <c r="AN91" s="92"/>
      <c r="AO91" s="92"/>
      <c r="AP91" s="92"/>
      <c r="AQ91" s="92"/>
      <c r="AR91" s="92"/>
      <c r="AS91" s="92"/>
      <c r="AT91" s="92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92">
        <f>SUM(T83:T91)</f>
        <v>0</v>
      </c>
      <c r="U92" s="92">
        <f>SUM(U83:U91)</f>
        <v>0</v>
      </c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2:46" ht="15" thickBot="1" x14ac:dyDescent="0.25">
      <c r="S97" s="75">
        <f>IF(OR(T109=3,U109=3),1,0)</f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2:46" ht="15" thickBot="1" x14ac:dyDescent="0.25">
      <c r="C98" s="29" t="s">
        <v>69</v>
      </c>
      <c r="D98" s="28">
        <v>3</v>
      </c>
      <c r="E98" s="28">
        <v>6</v>
      </c>
      <c r="F98" s="28">
        <v>9</v>
      </c>
      <c r="G98" s="28">
        <v>12</v>
      </c>
      <c r="H98" s="28">
        <v>15</v>
      </c>
      <c r="I98" s="28">
        <v>18</v>
      </c>
      <c r="J98" s="28">
        <v>21</v>
      </c>
      <c r="K98" s="28">
        <v>24</v>
      </c>
      <c r="L98" s="28">
        <v>27</v>
      </c>
      <c r="M98" s="28">
        <v>30</v>
      </c>
      <c r="N98" s="28">
        <v>33</v>
      </c>
      <c r="O98" s="28">
        <v>36</v>
      </c>
      <c r="P98" s="28">
        <v>39</v>
      </c>
      <c r="Q98" s="28">
        <v>42</v>
      </c>
      <c r="R98" s="28">
        <v>45</v>
      </c>
      <c r="S98" s="28">
        <v>48</v>
      </c>
      <c r="T98" s="92" t="s">
        <v>42</v>
      </c>
      <c r="U98" s="92" t="s">
        <v>43</v>
      </c>
      <c r="V98" s="92" t="s">
        <v>27</v>
      </c>
      <c r="W98" s="92" t="s">
        <v>28</v>
      </c>
      <c r="X98" s="92" t="s">
        <v>29</v>
      </c>
      <c r="Y98" s="92" t="s">
        <v>46</v>
      </c>
      <c r="Z98" s="92" t="s">
        <v>47</v>
      </c>
      <c r="AA98" s="92" t="s">
        <v>48</v>
      </c>
      <c r="AB98" s="92" t="s">
        <v>50</v>
      </c>
      <c r="AC98" s="92" t="s">
        <v>51</v>
      </c>
      <c r="AD98" s="93"/>
      <c r="AE98" s="93"/>
      <c r="AF98" s="92"/>
      <c r="AG98" s="92" t="s">
        <v>52</v>
      </c>
      <c r="AH98" s="92" t="s">
        <v>53</v>
      </c>
      <c r="AI98" s="92" t="s">
        <v>54</v>
      </c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2:46" ht="15" thickBot="1" x14ac:dyDescent="0.25">
      <c r="B99" s="37" t="str">
        <f>IF(SUM(D100:S100)=501,"Darts","")</f>
        <v/>
      </c>
      <c r="C99" s="27"/>
      <c r="D99" s="33">
        <v>501</v>
      </c>
      <c r="E99" s="34">
        <f>IF(D100="",0,D99-D100)</f>
        <v>0</v>
      </c>
      <c r="F99" s="34">
        <f t="shared" ref="F99:S99" si="48">IF(E100="",0,E99-E100)</f>
        <v>0</v>
      </c>
      <c r="G99" s="34">
        <f t="shared" si="48"/>
        <v>0</v>
      </c>
      <c r="H99" s="34">
        <f t="shared" si="48"/>
        <v>0</v>
      </c>
      <c r="I99" s="34">
        <f t="shared" si="48"/>
        <v>0</v>
      </c>
      <c r="J99" s="34">
        <f t="shared" si="48"/>
        <v>0</v>
      </c>
      <c r="K99" s="34">
        <f t="shared" si="48"/>
        <v>0</v>
      </c>
      <c r="L99" s="34">
        <f t="shared" si="48"/>
        <v>0</v>
      </c>
      <c r="M99" s="34">
        <f t="shared" si="48"/>
        <v>0</v>
      </c>
      <c r="N99" s="34">
        <f t="shared" si="48"/>
        <v>0</v>
      </c>
      <c r="O99" s="34">
        <f t="shared" si="48"/>
        <v>0</v>
      </c>
      <c r="P99" s="34">
        <f t="shared" si="48"/>
        <v>0</v>
      </c>
      <c r="Q99" s="34">
        <f t="shared" si="48"/>
        <v>0</v>
      </c>
      <c r="R99" s="34">
        <f t="shared" si="48"/>
        <v>0</v>
      </c>
      <c r="S99" s="34">
        <f t="shared" si="48"/>
        <v>0</v>
      </c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>
        <f>IF(OR(OR(T109&lt;0,T109&gt;3),OR(U109&lt;0,U109&gt;3)),1,0)</f>
        <v>0</v>
      </c>
      <c r="AE99" s="93" t="s">
        <v>126</v>
      </c>
      <c r="AF99" s="92" t="s">
        <v>44</v>
      </c>
      <c r="AG99" s="92">
        <f>IF(OR(B100=1,B100=2,B100=3),B100-3,0)</f>
        <v>0</v>
      </c>
      <c r="AH99" s="92"/>
      <c r="AI99" s="92"/>
      <c r="AJ99" s="92" t="s">
        <v>29</v>
      </c>
      <c r="AK99" s="92" t="s">
        <v>28</v>
      </c>
      <c r="AL99" s="92" t="s">
        <v>27</v>
      </c>
      <c r="AM99" s="92"/>
      <c r="AN99" s="92"/>
      <c r="AO99" s="92"/>
      <c r="AP99" s="92"/>
      <c r="AQ99" s="92"/>
      <c r="AR99" s="92"/>
      <c r="AS99" s="92"/>
      <c r="AT99" s="92"/>
    </row>
    <row r="100" spans="2:46" ht="15" thickBot="1" x14ac:dyDescent="0.25">
      <c r="B100" s="72"/>
      <c r="C100" s="30" t="s">
        <v>40</v>
      </c>
      <c r="D100" s="7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92">
        <f>IF(OR(B100=1,B100=2,B100=3),1,0)</f>
        <v>0</v>
      </c>
      <c r="U100" s="92">
        <f>IF(UPPER(B100)="L",1,0)</f>
        <v>0</v>
      </c>
      <c r="V100" s="94">
        <f>COUNTIF($D100:$S100,"&gt;99")-($X100+W100)</f>
        <v>0</v>
      </c>
      <c r="W100" s="94">
        <f>COUNTIF($D100:$S100,"&gt;139")-$X100</f>
        <v>0</v>
      </c>
      <c r="X100" s="92">
        <f>COUNTIF($D100:$S100,"&gt;169")</f>
        <v>0</v>
      </c>
      <c r="Y100" s="92"/>
      <c r="Z100" s="92">
        <f>IF(AND(ISBLANK(B100),SUM(D100:S100)=0),1,0)</f>
        <v>1</v>
      </c>
      <c r="AA100" s="92"/>
      <c r="AB100" s="92">
        <f>IF(OR(AND(T100=1,NOT(SUM(D100:S100)=501)),AND(U100=1,SUM(D100:S100)=501)),1,0)</f>
        <v>0</v>
      </c>
      <c r="AC100" s="92">
        <f>((16-COUNTBLANK(D100:S100))*3)+AG99</f>
        <v>0</v>
      </c>
      <c r="AD100" s="93">
        <f>IF(SUM(AA106:AA108)&gt;0,1,0)</f>
        <v>0</v>
      </c>
      <c r="AE100" s="93" t="s">
        <v>127</v>
      </c>
      <c r="AF100" s="92" t="s">
        <v>45</v>
      </c>
      <c r="AG100" s="92"/>
      <c r="AH100" s="92">
        <f>V100+2.00001*W100+3.001*X100</f>
        <v>0</v>
      </c>
      <c r="AI100" s="92">
        <f>LARGE(AH100:AH108,1)</f>
        <v>0</v>
      </c>
      <c r="AJ100" s="92">
        <f>ROUND((AI100-ROUND(AI100,0))*1000,0)</f>
        <v>0</v>
      </c>
      <c r="AK100" s="92">
        <f>(AI100-ROUND(AI100,3))*100000</f>
        <v>0</v>
      </c>
      <c r="AL100" s="92">
        <f>ROUND(AI100,0)-(2*AK100)-(3*AJ100)</f>
        <v>0</v>
      </c>
      <c r="AM100" s="92">
        <f>IF(T100=1,AC100,0)</f>
        <v>0</v>
      </c>
      <c r="AN100" s="92"/>
      <c r="AO100" s="92"/>
      <c r="AP100" s="92"/>
      <c r="AQ100" s="92"/>
      <c r="AR100" s="92"/>
      <c r="AS100" s="92"/>
      <c r="AT100" s="92"/>
    </row>
    <row r="101" spans="2:46" ht="15" thickBot="1" x14ac:dyDescent="0.25">
      <c r="B101" s="37" t="str">
        <f>IF(SUM(D102:S102)=501,"Darts","")</f>
        <v/>
      </c>
      <c r="C101" s="30"/>
      <c r="D101" s="34">
        <v>501</v>
      </c>
      <c r="E101" s="34">
        <f>IF(D102="",0,D101-D102)</f>
        <v>0</v>
      </c>
      <c r="F101" s="34">
        <f t="shared" ref="F101:S101" si="49">IF(E102="",0,E101-E102)</f>
        <v>0</v>
      </c>
      <c r="G101" s="34">
        <f t="shared" si="49"/>
        <v>0</v>
      </c>
      <c r="H101" s="34">
        <f t="shared" si="49"/>
        <v>0</v>
      </c>
      <c r="I101" s="34">
        <f t="shared" si="49"/>
        <v>0</v>
      </c>
      <c r="J101" s="34">
        <f t="shared" si="49"/>
        <v>0</v>
      </c>
      <c r="K101" s="34">
        <f t="shared" si="49"/>
        <v>0</v>
      </c>
      <c r="L101" s="34">
        <f t="shared" si="49"/>
        <v>0</v>
      </c>
      <c r="M101" s="34">
        <f t="shared" si="49"/>
        <v>0</v>
      </c>
      <c r="N101" s="34">
        <f t="shared" si="49"/>
        <v>0</v>
      </c>
      <c r="O101" s="34">
        <f t="shared" si="49"/>
        <v>0</v>
      </c>
      <c r="P101" s="34">
        <f t="shared" si="49"/>
        <v>0</v>
      </c>
      <c r="Q101" s="34">
        <f t="shared" si="49"/>
        <v>0</v>
      </c>
      <c r="R101" s="34">
        <f t="shared" si="49"/>
        <v>0</v>
      </c>
      <c r="S101" s="34">
        <f t="shared" si="49"/>
        <v>0</v>
      </c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3">
        <f>IF(SUM(AB100:AB108)&gt;0,1,0)</f>
        <v>0</v>
      </c>
      <c r="AE101" s="93" t="s">
        <v>128</v>
      </c>
      <c r="AF101" s="92" t="s">
        <v>49</v>
      </c>
      <c r="AG101" s="92">
        <f>IF(OR(B102=1,B102=2,B102=3),B102-3,0)</f>
        <v>0</v>
      </c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2:46" ht="15" thickBot="1" x14ac:dyDescent="0.25">
      <c r="B102" s="72"/>
      <c r="C102" s="35" t="str">
        <f>IF(ISBLANK(C18),"",C18)</f>
        <v xml:space="preserve"> </v>
      </c>
      <c r="D102" s="7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92">
        <f>IF(OR(B102=1,B102=2,B102=3),1,0)</f>
        <v>0</v>
      </c>
      <c r="U102" s="92">
        <f>IF(UPPER(B102)="L",1,0)</f>
        <v>0</v>
      </c>
      <c r="V102" s="94">
        <f>COUNTIF($D102:$S102,"&gt;99")-($X102+W102)</f>
        <v>0</v>
      </c>
      <c r="W102" s="94">
        <f>COUNTIF($D102:$S102,"&gt;139")-$X102</f>
        <v>0</v>
      </c>
      <c r="X102" s="92">
        <f>COUNTIF($D102:$S102,"&gt;169")</f>
        <v>0</v>
      </c>
      <c r="Y102" s="92"/>
      <c r="Z102" s="92">
        <f>IF(AND(ISBLANK(B102),SUM(D102:S102)=0),1,0)</f>
        <v>1</v>
      </c>
      <c r="AA102" s="92"/>
      <c r="AB102" s="92">
        <f>IF(OR(AND(T102=1,NOT(SUM(D102:S102)=501)),AND(U102=1,SUM(D102:S102)=501)),1,0)</f>
        <v>0</v>
      </c>
      <c r="AC102" s="92">
        <f>((16-COUNTBLANK(D102:S102))*3)+AG101</f>
        <v>0</v>
      </c>
      <c r="AD102" s="93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93" t="s">
        <v>128</v>
      </c>
      <c r="AF102" s="92" t="s">
        <v>63</v>
      </c>
      <c r="AG102" s="92"/>
      <c r="AH102" s="92">
        <f>V102+2.00001*W102+3.001*X102</f>
        <v>0</v>
      </c>
      <c r="AI102" s="92">
        <f>LARGE(AH100:AH108,2)</f>
        <v>0</v>
      </c>
      <c r="AJ102" s="92">
        <f>ROUND((AI102-ROUND(AI102,0))*1000,0)</f>
        <v>0</v>
      </c>
      <c r="AK102" s="92">
        <f>(AI102-ROUND(AI102,3))*100000</f>
        <v>0</v>
      </c>
      <c r="AL102" s="92">
        <f>ROUND(AI102,0)-(2*AK102)-(3*AJ102)</f>
        <v>0</v>
      </c>
      <c r="AM102" s="92">
        <f>IF(T102=1,AC102,0)</f>
        <v>0</v>
      </c>
      <c r="AN102" s="92"/>
      <c r="AO102" s="92"/>
      <c r="AP102" s="92"/>
      <c r="AQ102" s="92"/>
      <c r="AR102" s="92"/>
      <c r="AS102" s="92"/>
      <c r="AT102" s="92"/>
    </row>
    <row r="103" spans="2:46" ht="15" thickBot="1" x14ac:dyDescent="0.25">
      <c r="B103" s="37" t="str">
        <f>IF(SUM(D104:S104)=501,"Darts","")</f>
        <v/>
      </c>
      <c r="C103" s="30"/>
      <c r="D103" s="33">
        <v>501</v>
      </c>
      <c r="E103" s="34">
        <f>IF(D104="",0,D103-D104)</f>
        <v>0</v>
      </c>
      <c r="F103" s="34">
        <f t="shared" ref="F103:S103" si="50">IF(E104="",0,E103-E104)</f>
        <v>0</v>
      </c>
      <c r="G103" s="34">
        <f t="shared" si="50"/>
        <v>0</v>
      </c>
      <c r="H103" s="34">
        <f t="shared" si="50"/>
        <v>0</v>
      </c>
      <c r="I103" s="34">
        <f t="shared" si="50"/>
        <v>0</v>
      </c>
      <c r="J103" s="34">
        <f t="shared" si="50"/>
        <v>0</v>
      </c>
      <c r="K103" s="34">
        <f t="shared" si="50"/>
        <v>0</v>
      </c>
      <c r="L103" s="34">
        <f t="shared" si="50"/>
        <v>0</v>
      </c>
      <c r="M103" s="34">
        <f t="shared" si="50"/>
        <v>0</v>
      </c>
      <c r="N103" s="34">
        <f t="shared" si="50"/>
        <v>0</v>
      </c>
      <c r="O103" s="34">
        <f t="shared" si="50"/>
        <v>0</v>
      </c>
      <c r="P103" s="34">
        <f t="shared" si="50"/>
        <v>0</v>
      </c>
      <c r="Q103" s="34">
        <f t="shared" si="50"/>
        <v>0</v>
      </c>
      <c r="R103" s="34">
        <f t="shared" si="50"/>
        <v>0</v>
      </c>
      <c r="S103" s="34">
        <f t="shared" si="50"/>
        <v>0</v>
      </c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3">
        <f>IF(OR(AND(B100="L",C109&gt;0),AND(B102="L",C110&gt;0),AND(B104="L",C111&gt;0),AND(B106="L",C112&gt;0),AND(B108="L",C113&gt;0)),1,0)</f>
        <v>0</v>
      </c>
      <c r="AE103" s="93" t="s">
        <v>128</v>
      </c>
      <c r="AF103" s="92" t="s">
        <v>67</v>
      </c>
      <c r="AG103" s="92">
        <f>IF(OR(B104=1,B104=2,B104=3),B104-3,0)</f>
        <v>0</v>
      </c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2:46" ht="15" thickBot="1" x14ac:dyDescent="0.25">
      <c r="B104" s="72"/>
      <c r="C104" s="31"/>
      <c r="D104" s="7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92">
        <f>IF(OR(B104=1,B104=2,B104=3),1,0)</f>
        <v>0</v>
      </c>
      <c r="U104" s="92">
        <f>IF(UPPER(B104)="L",1,0)</f>
        <v>0</v>
      </c>
      <c r="V104" s="94">
        <f>COUNTIF($D104:$S104,"&gt;99")-($X104+W104)</f>
        <v>0</v>
      </c>
      <c r="W104" s="94">
        <f>COUNTIF($D104:$S104,"&gt;139")-$X104</f>
        <v>0</v>
      </c>
      <c r="X104" s="92">
        <f>COUNTIF($D104:$S104,"&gt;169")</f>
        <v>0</v>
      </c>
      <c r="Y104" s="92">
        <f>IF(OR(SUM(T100:T104)=3,SUM(U100:U104)=3),1,0)</f>
        <v>0</v>
      </c>
      <c r="Z104" s="92">
        <f>IF(AND(ISBLANK(B104),SUM(D104:S104)=0),1,0)</f>
        <v>1</v>
      </c>
      <c r="AA104" s="92"/>
      <c r="AB104" s="92">
        <f>IF(OR(AND(T104=1,NOT(SUM(D104:S104)=501)),AND(U104=1,SUM(D104:S104)=501)),1,0)</f>
        <v>0</v>
      </c>
      <c r="AC104" s="92">
        <f>((16-COUNTBLANK(D104:S104))*3)+AG103</f>
        <v>0</v>
      </c>
      <c r="AD104" s="93">
        <f>IF(OR(AND(ISNUMBER(B100),C109=0),AND(ISNUMBER(B102),C110=0),AND(ISNUMBER(B104),C111=0),AND(ISNUMBER(B106),C112=0),AND(ISNUMBER(B108),C113=0)),1,0)</f>
        <v>0</v>
      </c>
      <c r="AE104" s="93" t="s">
        <v>128</v>
      </c>
      <c r="AF104" s="92" t="s">
        <v>64</v>
      </c>
      <c r="AG104" s="92"/>
      <c r="AH104" s="92">
        <f>V104+2.00001*W104+3.001*X104</f>
        <v>0</v>
      </c>
      <c r="AI104" s="92">
        <f>LARGE(AH100:AH108,3)</f>
        <v>0</v>
      </c>
      <c r="AJ104" s="92">
        <f>ROUND((AI104-ROUND(AI104,0))*1000,0)</f>
        <v>0</v>
      </c>
      <c r="AK104" s="92">
        <f>(AI104-ROUND(AI104,3))*100000</f>
        <v>0</v>
      </c>
      <c r="AL104" s="92">
        <f>ROUND(AI104,0)-(2*AK104)-(3*AJ104)</f>
        <v>0</v>
      </c>
      <c r="AM104" s="92">
        <f>IF(T104=1,AC104,0)</f>
        <v>0</v>
      </c>
      <c r="AN104" s="92"/>
      <c r="AO104" s="92"/>
      <c r="AP104" s="92"/>
      <c r="AQ104" s="92"/>
      <c r="AR104" s="92"/>
      <c r="AS104" s="92"/>
      <c r="AT104" s="92"/>
    </row>
    <row r="105" spans="2:46" ht="15" thickBot="1" x14ac:dyDescent="0.25">
      <c r="B105" s="37" t="str">
        <f>IF(SUM(D106:S106)=501,"Darts","")</f>
        <v/>
      </c>
      <c r="C105" s="27" t="s">
        <v>41</v>
      </c>
      <c r="D105" s="33">
        <v>501</v>
      </c>
      <c r="E105" s="34">
        <f>IF(D106="",0,D105-D106)</f>
        <v>0</v>
      </c>
      <c r="F105" s="34">
        <f t="shared" ref="F105:S105" si="51">IF(E106="",0,E105-E106)</f>
        <v>0</v>
      </c>
      <c r="G105" s="34">
        <f t="shared" si="51"/>
        <v>0</v>
      </c>
      <c r="H105" s="34">
        <f t="shared" si="51"/>
        <v>0</v>
      </c>
      <c r="I105" s="34">
        <f t="shared" si="51"/>
        <v>0</v>
      </c>
      <c r="J105" s="34">
        <f t="shared" si="51"/>
        <v>0</v>
      </c>
      <c r="K105" s="34">
        <f t="shared" si="51"/>
        <v>0</v>
      </c>
      <c r="L105" s="34">
        <f t="shared" si="51"/>
        <v>0</v>
      </c>
      <c r="M105" s="34">
        <f t="shared" si="51"/>
        <v>0</v>
      </c>
      <c r="N105" s="34">
        <f t="shared" si="51"/>
        <v>0</v>
      </c>
      <c r="O105" s="34">
        <f t="shared" si="51"/>
        <v>0</v>
      </c>
      <c r="P105" s="34">
        <f t="shared" si="51"/>
        <v>0</v>
      </c>
      <c r="Q105" s="34">
        <f t="shared" si="51"/>
        <v>0</v>
      </c>
      <c r="R105" s="34">
        <f t="shared" si="51"/>
        <v>0</v>
      </c>
      <c r="S105" s="34">
        <f t="shared" si="51"/>
        <v>0</v>
      </c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3"/>
      <c r="AE105" s="93"/>
      <c r="AF105" s="92"/>
      <c r="AG105" s="92">
        <f>IF(OR(B106=1,B106=2,B106=3),B106-3,0)</f>
        <v>0</v>
      </c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2:46" ht="15" thickBot="1" x14ac:dyDescent="0.25">
      <c r="B106" s="72"/>
      <c r="C106" s="32" t="str">
        <f>IF(S97=1,IF(T109=3,"WON","LOST"),"")</f>
        <v/>
      </c>
      <c r="D106" s="7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92">
        <f>IF(OR(B106=1,B106=2,B106=3),1,0)</f>
        <v>0</v>
      </c>
      <c r="U106" s="92">
        <f>IF(UPPER(B106)="L",1,0)</f>
        <v>0</v>
      </c>
      <c r="V106" s="94">
        <f>COUNTIF($D106:$S106,"&gt;99")-($X106+W106)</f>
        <v>0</v>
      </c>
      <c r="W106" s="94">
        <f>COUNTIF($D106:$S106,"&gt;139")-$X106</f>
        <v>0</v>
      </c>
      <c r="X106" s="92">
        <f>COUNTIF($D106:$S106,"&gt;169")</f>
        <v>0</v>
      </c>
      <c r="Y106" s="92">
        <f>IF(AND(OR(SUM(T100:T106)=3,SUM(U100:U106)=3),Y104=0),1,0)</f>
        <v>0</v>
      </c>
      <c r="Z106" s="92">
        <f>IF(AND(ISBLANK(B106),SUM(D106:S106)=0),1,0)</f>
        <v>1</v>
      </c>
      <c r="AA106" s="92">
        <f>IF(AND(Y104=1,Y106=0,Z106=0),1,0)</f>
        <v>0</v>
      </c>
      <c r="AB106" s="92">
        <f>IF(OR(AND(T106=1,NOT(SUM(D106:S106)=501)),AND(U106=1,SUM(D106:S106)=501)),1,0)</f>
        <v>0</v>
      </c>
      <c r="AC106" s="92">
        <f>((16-COUNTBLANK(D106:S106))*3)+AG105</f>
        <v>0</v>
      </c>
      <c r="AD106" s="93"/>
      <c r="AE106" s="93"/>
      <c r="AF106" s="92"/>
      <c r="AG106" s="92"/>
      <c r="AH106" s="92">
        <f>V106+2.00001*W106+3.001*X106</f>
        <v>0</v>
      </c>
      <c r="AI106" s="92" t="s">
        <v>55</v>
      </c>
      <c r="AJ106" s="92">
        <f>SUM(AJ100:AJ104)</f>
        <v>0</v>
      </c>
      <c r="AK106" s="92">
        <f>SUM(AK100:AK104)</f>
        <v>0</v>
      </c>
      <c r="AL106" s="92">
        <f>SUM(AL100:AL104)</f>
        <v>0</v>
      </c>
      <c r="AM106" s="92">
        <f>IF(T106=1,AC106,0)</f>
        <v>0</v>
      </c>
      <c r="AN106" s="92"/>
      <c r="AO106" s="92"/>
      <c r="AP106" s="92"/>
      <c r="AQ106" s="92"/>
      <c r="AR106" s="92"/>
      <c r="AS106" s="92"/>
      <c r="AT106" s="92"/>
    </row>
    <row r="107" spans="2:46" ht="15" thickBot="1" x14ac:dyDescent="0.25">
      <c r="B107" s="37" t="str">
        <f>IF(SUM(D108:S108)=501,"Darts","")</f>
        <v/>
      </c>
      <c r="C107" s="32" t="str">
        <f>IF(OR(S97=1,A35=1),ROUND(SUM(D100:S100,D102:S102,D104:S104,D106:S106,D108:S108)/SUM(AC100:AC108),2),"")</f>
        <v/>
      </c>
      <c r="D107" s="33">
        <v>501</v>
      </c>
      <c r="E107" s="34">
        <f>IF(D108="",0,D107-D108)</f>
        <v>0</v>
      </c>
      <c r="F107" s="34">
        <f t="shared" ref="F107:S107" si="52">IF(E108="",0,E107-E108)</f>
        <v>0</v>
      </c>
      <c r="G107" s="34">
        <f t="shared" si="52"/>
        <v>0</v>
      </c>
      <c r="H107" s="34">
        <f t="shared" si="52"/>
        <v>0</v>
      </c>
      <c r="I107" s="34">
        <f t="shared" si="52"/>
        <v>0</v>
      </c>
      <c r="J107" s="34">
        <f t="shared" si="52"/>
        <v>0</v>
      </c>
      <c r="K107" s="34">
        <f t="shared" si="52"/>
        <v>0</v>
      </c>
      <c r="L107" s="34">
        <f t="shared" si="52"/>
        <v>0</v>
      </c>
      <c r="M107" s="34">
        <f t="shared" si="52"/>
        <v>0</v>
      </c>
      <c r="N107" s="34">
        <f t="shared" si="52"/>
        <v>0</v>
      </c>
      <c r="O107" s="34">
        <f t="shared" si="52"/>
        <v>0</v>
      </c>
      <c r="P107" s="34">
        <f t="shared" si="52"/>
        <v>0</v>
      </c>
      <c r="Q107" s="34">
        <f t="shared" si="52"/>
        <v>0</v>
      </c>
      <c r="R107" s="34">
        <f t="shared" si="52"/>
        <v>0</v>
      </c>
      <c r="S107" s="34">
        <f t="shared" si="52"/>
        <v>0</v>
      </c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3"/>
      <c r="AE107" s="93"/>
      <c r="AF107" s="92"/>
      <c r="AG107" s="92">
        <f>IF(OR(B108=1,B108=2,B108=3),B108-3,0)</f>
        <v>0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2:46" ht="15" thickBot="1" x14ac:dyDescent="0.25">
      <c r="B108" s="72"/>
      <c r="C108" s="31"/>
      <c r="D108" s="7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92">
        <f>IF(OR(B108=1,B108=2,B108=3),1,0)</f>
        <v>0</v>
      </c>
      <c r="U108" s="92">
        <f>IF(UPPER(B108)="L",1,0)</f>
        <v>0</v>
      </c>
      <c r="V108" s="94">
        <f>COUNTIF($D108:$S108,"&gt;99")-($X108+W108)</f>
        <v>0</v>
      </c>
      <c r="W108" s="94">
        <f>COUNTIF($D108:$S108,"&gt;139")-$X108</f>
        <v>0</v>
      </c>
      <c r="X108" s="92">
        <f>COUNTIF($D108:$S108,"&gt;169")</f>
        <v>0</v>
      </c>
      <c r="Y108" s="92">
        <f>IF(AND(OR(SUM(T100:T108)=3,SUM(U100:U108)=3),Y106=0,Y104=0),1,0)</f>
        <v>0</v>
      </c>
      <c r="Z108" s="92">
        <f>IF(AND(ISBLANK(B108),SUM(D108:S108)=0),1,0)</f>
        <v>1</v>
      </c>
      <c r="AA108" s="92">
        <f>IF(AND(Y108=0,Z108=0),1,0)</f>
        <v>0</v>
      </c>
      <c r="AB108" s="92">
        <f>IF(OR(AND(T108=1,NOT(SUM(D108:S108)=501)),AND(U108=1,SUM(D108:S108)=501)),1,0)</f>
        <v>0</v>
      </c>
      <c r="AC108" s="92">
        <f>((16-COUNTBLANK(D108:S108))*3)+AG107</f>
        <v>0</v>
      </c>
      <c r="AD108" s="93"/>
      <c r="AE108" s="93"/>
      <c r="AF108" s="92"/>
      <c r="AG108" s="92"/>
      <c r="AH108" s="92">
        <f>V108+2.00001*W108+3.001*X108</f>
        <v>0</v>
      </c>
      <c r="AI108" s="92"/>
      <c r="AJ108" s="92"/>
      <c r="AK108" s="92"/>
      <c r="AL108" s="92"/>
      <c r="AM108" s="92">
        <f>IF(T108=1,AC108,0)</f>
        <v>0</v>
      </c>
      <c r="AN108" s="92"/>
      <c r="AO108" s="92"/>
      <c r="AP108" s="92"/>
      <c r="AQ108" s="92"/>
      <c r="AR108" s="92"/>
      <c r="AS108" s="92"/>
      <c r="AT108" s="92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92">
        <f>SUM(T100:T108)</f>
        <v>0</v>
      </c>
      <c r="U109" s="92">
        <f>SUM(U100:U108)</f>
        <v>0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2:46" ht="15" thickBot="1" x14ac:dyDescent="0.25">
      <c r="S114" s="75">
        <f>IF(OR(T126=3,U126=3),1,0)</f>
        <v>0</v>
      </c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2:46" ht="15" thickBot="1" x14ac:dyDescent="0.25">
      <c r="C115" s="29" t="s">
        <v>70</v>
      </c>
      <c r="D115" s="28">
        <v>3</v>
      </c>
      <c r="E115" s="28">
        <v>6</v>
      </c>
      <c r="F115" s="28">
        <v>9</v>
      </c>
      <c r="G115" s="28">
        <v>12</v>
      </c>
      <c r="H115" s="28">
        <v>15</v>
      </c>
      <c r="I115" s="28">
        <v>18</v>
      </c>
      <c r="J115" s="28">
        <v>21</v>
      </c>
      <c r="K115" s="28">
        <v>24</v>
      </c>
      <c r="L115" s="28">
        <v>27</v>
      </c>
      <c r="M115" s="28">
        <v>30</v>
      </c>
      <c r="N115" s="28">
        <v>33</v>
      </c>
      <c r="O115" s="28">
        <v>36</v>
      </c>
      <c r="P115" s="28">
        <v>39</v>
      </c>
      <c r="Q115" s="28">
        <v>42</v>
      </c>
      <c r="R115" s="28">
        <v>45</v>
      </c>
      <c r="S115" s="28">
        <v>48</v>
      </c>
      <c r="T115" s="92" t="s">
        <v>42</v>
      </c>
      <c r="U115" s="92" t="s">
        <v>43</v>
      </c>
      <c r="V115" s="92" t="s">
        <v>27</v>
      </c>
      <c r="W115" s="92" t="s">
        <v>28</v>
      </c>
      <c r="X115" s="92" t="s">
        <v>29</v>
      </c>
      <c r="Y115" s="92" t="s">
        <v>46</v>
      </c>
      <c r="Z115" s="92" t="s">
        <v>47</v>
      </c>
      <c r="AA115" s="92" t="s">
        <v>48</v>
      </c>
      <c r="AB115" s="92" t="s">
        <v>50</v>
      </c>
      <c r="AC115" s="92" t="s">
        <v>51</v>
      </c>
      <c r="AD115" s="93"/>
      <c r="AE115" s="93"/>
      <c r="AF115" s="92"/>
      <c r="AG115" s="92" t="s">
        <v>52</v>
      </c>
      <c r="AH115" s="92" t="s">
        <v>53</v>
      </c>
      <c r="AI115" s="92" t="s">
        <v>54</v>
      </c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2:46" ht="15" thickBot="1" x14ac:dyDescent="0.25">
      <c r="B116" s="37" t="str">
        <f>IF(SUM(D117:S117)=501,"Darts","")</f>
        <v/>
      </c>
      <c r="C116" s="27"/>
      <c r="D116" s="33">
        <v>501</v>
      </c>
      <c r="E116" s="34">
        <f>IF(D117="",0,D116-D117)</f>
        <v>0</v>
      </c>
      <c r="F116" s="34">
        <f t="shared" ref="F116:S116" si="58">IF(E117="",0,E116-E117)</f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  <c r="N116" s="34">
        <f t="shared" si="58"/>
        <v>0</v>
      </c>
      <c r="O116" s="34">
        <f t="shared" si="58"/>
        <v>0</v>
      </c>
      <c r="P116" s="34">
        <f t="shared" si="58"/>
        <v>0</v>
      </c>
      <c r="Q116" s="34">
        <f t="shared" si="58"/>
        <v>0</v>
      </c>
      <c r="R116" s="34">
        <f t="shared" si="58"/>
        <v>0</v>
      </c>
      <c r="S116" s="34">
        <f t="shared" si="58"/>
        <v>0</v>
      </c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3">
        <f>IF(OR(OR(T126&lt;0,T126&gt;3),OR(U126&lt;0,U126&gt;3)),1,0)</f>
        <v>0</v>
      </c>
      <c r="AE116" s="93" t="s">
        <v>129</v>
      </c>
      <c r="AF116" s="92" t="s">
        <v>44</v>
      </c>
      <c r="AG116" s="92">
        <f>IF(OR(B117=1,B117=2,B117=3),B117-3,0)</f>
        <v>0</v>
      </c>
      <c r="AH116" s="92"/>
      <c r="AI116" s="92"/>
      <c r="AJ116" s="92" t="s">
        <v>29</v>
      </c>
      <c r="AK116" s="92" t="s">
        <v>28</v>
      </c>
      <c r="AL116" s="92" t="s">
        <v>27</v>
      </c>
      <c r="AM116" s="92"/>
      <c r="AN116" s="92"/>
      <c r="AO116" s="92"/>
      <c r="AP116" s="92"/>
      <c r="AQ116" s="92"/>
      <c r="AR116" s="92"/>
      <c r="AS116" s="92"/>
      <c r="AT116" s="92"/>
    </row>
    <row r="117" spans="2:46" ht="15" thickBot="1" x14ac:dyDescent="0.25">
      <c r="B117" s="72"/>
      <c r="C117" s="30" t="s">
        <v>40</v>
      </c>
      <c r="D117" s="7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92">
        <f>IF(OR(B117=1,B117=2,B117=3),1,0)</f>
        <v>0</v>
      </c>
      <c r="U117" s="92">
        <f>IF(UPPER(B117)="L",1,0)</f>
        <v>0</v>
      </c>
      <c r="V117" s="94">
        <f>COUNTIF($D117:$S117,"&gt;99")-($X117+W117)</f>
        <v>0</v>
      </c>
      <c r="W117" s="94">
        <f>COUNTIF($D117:$S117,"&gt;139")-$X117</f>
        <v>0</v>
      </c>
      <c r="X117" s="92">
        <f>COUNTIF($D117:$S117,"&gt;169")</f>
        <v>0</v>
      </c>
      <c r="Y117" s="92"/>
      <c r="Z117" s="92">
        <f>IF(AND(ISBLANK(B117),SUM(D117:S117)=0),1,0)</f>
        <v>1</v>
      </c>
      <c r="AA117" s="92"/>
      <c r="AB117" s="92">
        <f>IF(OR(AND(T117=1,NOT(SUM(D117:S117)=501)),AND(U117=1,SUM(D117:S117)=501)),1,0)</f>
        <v>0</v>
      </c>
      <c r="AC117" s="92">
        <f>((16-COUNTBLANK(D117:S117))*3)+AG116</f>
        <v>0</v>
      </c>
      <c r="AD117" s="93">
        <f>IF(SUM(AA123:AA125)&gt;0,1,0)</f>
        <v>0</v>
      </c>
      <c r="AE117" s="93" t="s">
        <v>130</v>
      </c>
      <c r="AF117" s="92" t="s">
        <v>45</v>
      </c>
      <c r="AG117" s="92"/>
      <c r="AH117" s="92">
        <f>V117+2.00001*W117+3.001*X117</f>
        <v>0</v>
      </c>
      <c r="AI117" s="92">
        <f>LARGE(AH117:AH125,1)</f>
        <v>0</v>
      </c>
      <c r="AJ117" s="92">
        <f>ROUND((AI117-ROUND(AI117,0))*1000,0)</f>
        <v>0</v>
      </c>
      <c r="AK117" s="92">
        <f>(AI117-ROUND(AI117,3))*100000</f>
        <v>0</v>
      </c>
      <c r="AL117" s="92">
        <f>ROUND(AI117,0)-(2*AK117)-(3*AJ117)</f>
        <v>0</v>
      </c>
      <c r="AM117" s="92">
        <f>IF(T117=1,AC117,0)</f>
        <v>0</v>
      </c>
      <c r="AN117" s="92"/>
      <c r="AO117" s="92"/>
      <c r="AP117" s="92"/>
      <c r="AQ117" s="92"/>
      <c r="AR117" s="92"/>
      <c r="AS117" s="92"/>
      <c r="AT117" s="92"/>
    </row>
    <row r="118" spans="2:46" ht="15" thickBot="1" x14ac:dyDescent="0.25">
      <c r="B118" s="37" t="str">
        <f>IF(SUM(D119:S119)=501,"Darts","")</f>
        <v/>
      </c>
      <c r="C118" s="30"/>
      <c r="D118" s="34">
        <v>501</v>
      </c>
      <c r="E118" s="34">
        <f>IF(D119="",0,D118-D119)</f>
        <v>0</v>
      </c>
      <c r="F118" s="34">
        <f t="shared" ref="F118:S118" si="59">IF(E119="",0,E118-E119)</f>
        <v>0</v>
      </c>
      <c r="G118" s="34">
        <f t="shared" si="59"/>
        <v>0</v>
      </c>
      <c r="H118" s="34">
        <f t="shared" si="59"/>
        <v>0</v>
      </c>
      <c r="I118" s="34">
        <f t="shared" si="59"/>
        <v>0</v>
      </c>
      <c r="J118" s="34">
        <f t="shared" si="59"/>
        <v>0</v>
      </c>
      <c r="K118" s="34">
        <f t="shared" si="59"/>
        <v>0</v>
      </c>
      <c r="L118" s="34">
        <f t="shared" si="59"/>
        <v>0</v>
      </c>
      <c r="M118" s="34">
        <f t="shared" si="59"/>
        <v>0</v>
      </c>
      <c r="N118" s="34">
        <f t="shared" si="59"/>
        <v>0</v>
      </c>
      <c r="O118" s="34">
        <f t="shared" si="59"/>
        <v>0</v>
      </c>
      <c r="P118" s="34">
        <f t="shared" si="59"/>
        <v>0</v>
      </c>
      <c r="Q118" s="34">
        <f t="shared" si="59"/>
        <v>0</v>
      </c>
      <c r="R118" s="34">
        <f t="shared" si="59"/>
        <v>0</v>
      </c>
      <c r="S118" s="34">
        <f t="shared" si="59"/>
        <v>0</v>
      </c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3">
        <f>IF(SUM(AB117:AB125)&gt;0,1,0)</f>
        <v>0</v>
      </c>
      <c r="AE118" s="93" t="s">
        <v>131</v>
      </c>
      <c r="AF118" s="92" t="s">
        <v>49</v>
      </c>
      <c r="AG118" s="92">
        <f>IF(OR(B119=1,B119=2,B119=3),B119-3,0)</f>
        <v>0</v>
      </c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2:46" ht="15" thickBot="1" x14ac:dyDescent="0.25">
      <c r="B119" s="72"/>
      <c r="C119" s="35" t="str">
        <f>IF(ISBLANK(C19),"",C19)</f>
        <v xml:space="preserve"> </v>
      </c>
      <c r="D119" s="7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92">
        <f>IF(OR(B119=1,B119=2,B119=3),1,0)</f>
        <v>0</v>
      </c>
      <c r="U119" s="92">
        <f>IF(UPPER(B119)="L",1,0)</f>
        <v>0</v>
      </c>
      <c r="V119" s="94">
        <f>COUNTIF($D119:$S119,"&gt;99")-($X119+W119)</f>
        <v>0</v>
      </c>
      <c r="W119" s="94">
        <f>COUNTIF($D119:$S119,"&gt;139")-$X119</f>
        <v>0</v>
      </c>
      <c r="X119" s="92">
        <f>COUNTIF($D119:$S119,"&gt;169")</f>
        <v>0</v>
      </c>
      <c r="Y119" s="92"/>
      <c r="Z119" s="92">
        <f>IF(AND(ISBLANK(B119),SUM(D119:S119)=0),1,0)</f>
        <v>1</v>
      </c>
      <c r="AA119" s="92"/>
      <c r="AB119" s="92">
        <f>IF(OR(AND(T119=1,NOT(SUM(D119:S119)=501)),AND(U119=1,SUM(D119:S119)=501)),1,0)</f>
        <v>0</v>
      </c>
      <c r="AC119" s="92">
        <f>((16-COUNTBLANK(D119:S119))*3)+AG118</f>
        <v>0</v>
      </c>
      <c r="AD119" s="93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93" t="s">
        <v>131</v>
      </c>
      <c r="AF119" s="92" t="s">
        <v>63</v>
      </c>
      <c r="AG119" s="92"/>
      <c r="AH119" s="92">
        <f>V119+2.00001*W119+3.001*X119</f>
        <v>0</v>
      </c>
      <c r="AI119" s="92">
        <f>LARGE(AH117:AH125,2)</f>
        <v>0</v>
      </c>
      <c r="AJ119" s="92">
        <f>ROUND((AI119-ROUND(AI119,0))*1000,0)</f>
        <v>0</v>
      </c>
      <c r="AK119" s="92">
        <f>(AI119-ROUND(AI119,3))*100000</f>
        <v>0</v>
      </c>
      <c r="AL119" s="92">
        <f>ROUND(AI119,0)-(2*AK119)-(3*AJ119)</f>
        <v>0</v>
      </c>
      <c r="AM119" s="92">
        <f>IF(T119=1,AC119,0)</f>
        <v>0</v>
      </c>
      <c r="AN119" s="92"/>
      <c r="AO119" s="92"/>
      <c r="AP119" s="92"/>
      <c r="AQ119" s="92"/>
      <c r="AR119" s="92"/>
      <c r="AS119" s="92"/>
      <c r="AT119" s="92"/>
    </row>
    <row r="120" spans="2:46" ht="15" thickBot="1" x14ac:dyDescent="0.25">
      <c r="B120" s="37" t="str">
        <f>IF(SUM(D121:S121)=501,"Darts","")</f>
        <v/>
      </c>
      <c r="C120" s="30"/>
      <c r="D120" s="33">
        <v>501</v>
      </c>
      <c r="E120" s="34">
        <f>IF(D121="",0,D120-D121)</f>
        <v>0</v>
      </c>
      <c r="F120" s="34">
        <f t="shared" ref="F120:S120" si="60">IF(E121="",0,E120-E121)</f>
        <v>0</v>
      </c>
      <c r="G120" s="34">
        <f t="shared" si="60"/>
        <v>0</v>
      </c>
      <c r="H120" s="34">
        <f t="shared" si="60"/>
        <v>0</v>
      </c>
      <c r="I120" s="34">
        <f t="shared" si="60"/>
        <v>0</v>
      </c>
      <c r="J120" s="34">
        <f t="shared" si="60"/>
        <v>0</v>
      </c>
      <c r="K120" s="34">
        <f t="shared" si="60"/>
        <v>0</v>
      </c>
      <c r="L120" s="34">
        <f t="shared" si="60"/>
        <v>0</v>
      </c>
      <c r="M120" s="34">
        <f t="shared" si="60"/>
        <v>0</v>
      </c>
      <c r="N120" s="34">
        <f t="shared" si="60"/>
        <v>0</v>
      </c>
      <c r="O120" s="34">
        <f t="shared" si="60"/>
        <v>0</v>
      </c>
      <c r="P120" s="34">
        <f t="shared" si="60"/>
        <v>0</v>
      </c>
      <c r="Q120" s="34">
        <f t="shared" si="60"/>
        <v>0</v>
      </c>
      <c r="R120" s="34">
        <f t="shared" si="60"/>
        <v>0</v>
      </c>
      <c r="S120" s="34">
        <f t="shared" si="60"/>
        <v>0</v>
      </c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3">
        <f>IF(OR(AND(B117="L",C126&gt;0),AND(B119="L",C127&gt;0),AND(B121="L",C128&gt;0),AND(B123="L",C129&gt;0),AND(B125="L",C130&gt;0)),1,0)</f>
        <v>0</v>
      </c>
      <c r="AE120" s="93" t="s">
        <v>131</v>
      </c>
      <c r="AF120" s="92" t="s">
        <v>67</v>
      </c>
      <c r="AG120" s="92">
        <f>IF(OR(B121=1,B121=2,B121=3),B121-3,0)</f>
        <v>0</v>
      </c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2:46" ht="15" thickBot="1" x14ac:dyDescent="0.25">
      <c r="B121" s="72"/>
      <c r="C121" s="31"/>
      <c r="D121" s="73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92">
        <f>IF(OR(B121=1,B121=2,B121=3),1,0)</f>
        <v>0</v>
      </c>
      <c r="U121" s="92">
        <f>IF(UPPER(B121)="L",1,0)</f>
        <v>0</v>
      </c>
      <c r="V121" s="94">
        <f>COUNTIF($D121:$S121,"&gt;99")-($X121+W121)</f>
        <v>0</v>
      </c>
      <c r="W121" s="94">
        <f>COUNTIF($D121:$S121,"&gt;139")-$X121</f>
        <v>0</v>
      </c>
      <c r="X121" s="92">
        <f>COUNTIF($D121:$S121,"&gt;169")</f>
        <v>0</v>
      </c>
      <c r="Y121" s="92">
        <f>IF(OR(SUM(T117:T121)=3,SUM(U117:U121)=3),1,0)</f>
        <v>0</v>
      </c>
      <c r="Z121" s="92">
        <f>IF(AND(ISBLANK(B121),SUM(D121:S121)=0),1,0)</f>
        <v>1</v>
      </c>
      <c r="AA121" s="92"/>
      <c r="AB121" s="92">
        <f>IF(OR(AND(T121=1,NOT(SUM(D121:S121)=501)),AND(U121=1,SUM(D121:S121)=501)),1,0)</f>
        <v>0</v>
      </c>
      <c r="AC121" s="92">
        <f>((16-COUNTBLANK(D121:S121))*3)+AG120</f>
        <v>0</v>
      </c>
      <c r="AD121" s="93">
        <f>IF(OR(AND(ISNUMBER(B117),C126=0),AND(ISNUMBER(B119),C127=0),AND(ISNUMBER(B121),C128=0),AND(ISNUMBER(B123),C129=0),AND(ISNUMBER(B125),C130=0)),1,0)</f>
        <v>0</v>
      </c>
      <c r="AE121" s="93" t="s">
        <v>131</v>
      </c>
      <c r="AF121" s="92" t="s">
        <v>64</v>
      </c>
      <c r="AG121" s="92"/>
      <c r="AH121" s="92">
        <f>V121+2.00001*W121+3.001*X121</f>
        <v>0</v>
      </c>
      <c r="AI121" s="92">
        <f>LARGE(AH117:AH125,3)</f>
        <v>0</v>
      </c>
      <c r="AJ121" s="92">
        <f>ROUND((AI121-ROUND(AI121,0))*1000,0)</f>
        <v>0</v>
      </c>
      <c r="AK121" s="92">
        <f>(AI121-ROUND(AI121,3))*100000</f>
        <v>0</v>
      </c>
      <c r="AL121" s="92">
        <f>ROUND(AI121,0)-(2*AK121)-(3*AJ121)</f>
        <v>0</v>
      </c>
      <c r="AM121" s="92">
        <f>IF(T121=1,AC121,0)</f>
        <v>0</v>
      </c>
      <c r="AN121" s="92"/>
      <c r="AO121" s="92"/>
      <c r="AP121" s="92"/>
      <c r="AQ121" s="92"/>
      <c r="AR121" s="92"/>
      <c r="AS121" s="92"/>
      <c r="AT121" s="92"/>
    </row>
    <row r="122" spans="2:46" ht="15" thickBot="1" x14ac:dyDescent="0.25">
      <c r="B122" s="37" t="str">
        <f>IF(SUM(D123:S123)=501,"Darts","")</f>
        <v/>
      </c>
      <c r="C122" s="27" t="s">
        <v>41</v>
      </c>
      <c r="D122" s="33">
        <v>501</v>
      </c>
      <c r="E122" s="34">
        <f>IF(D123="",0,D122-D123)</f>
        <v>0</v>
      </c>
      <c r="F122" s="34">
        <f t="shared" ref="F122:S122" si="61">IF(E123="",0,E122-E123)</f>
        <v>0</v>
      </c>
      <c r="G122" s="34">
        <f t="shared" si="61"/>
        <v>0</v>
      </c>
      <c r="H122" s="34">
        <f t="shared" si="61"/>
        <v>0</v>
      </c>
      <c r="I122" s="34">
        <f t="shared" si="61"/>
        <v>0</v>
      </c>
      <c r="J122" s="34">
        <f t="shared" si="61"/>
        <v>0</v>
      </c>
      <c r="K122" s="34">
        <f t="shared" si="61"/>
        <v>0</v>
      </c>
      <c r="L122" s="34">
        <f t="shared" si="61"/>
        <v>0</v>
      </c>
      <c r="M122" s="34">
        <f t="shared" si="61"/>
        <v>0</v>
      </c>
      <c r="N122" s="34">
        <f t="shared" si="61"/>
        <v>0</v>
      </c>
      <c r="O122" s="34">
        <f t="shared" si="61"/>
        <v>0</v>
      </c>
      <c r="P122" s="34">
        <f t="shared" si="61"/>
        <v>0</v>
      </c>
      <c r="Q122" s="34">
        <f t="shared" si="61"/>
        <v>0</v>
      </c>
      <c r="R122" s="34">
        <f t="shared" si="61"/>
        <v>0</v>
      </c>
      <c r="S122" s="34">
        <f t="shared" si="61"/>
        <v>0</v>
      </c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3"/>
      <c r="AE122" s="93"/>
      <c r="AF122" s="92"/>
      <c r="AG122" s="92">
        <f>IF(OR(B123=1,B123=2,B123=3),B123-3,0)</f>
        <v>0</v>
      </c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2:46" ht="15" thickBot="1" x14ac:dyDescent="0.25">
      <c r="B123" s="72"/>
      <c r="C123" s="32" t="str">
        <f>IF(S114=1,IF(T126=3,"WON","LOST"),"")</f>
        <v/>
      </c>
      <c r="D123" s="73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92">
        <f>IF(OR(B123=1,B123=2,B123=3),1,0)</f>
        <v>0</v>
      </c>
      <c r="U123" s="92">
        <f>IF(UPPER(B123)="L",1,0)</f>
        <v>0</v>
      </c>
      <c r="V123" s="94">
        <f>COUNTIF($D123:$S123,"&gt;99")-($X123+W123)</f>
        <v>0</v>
      </c>
      <c r="W123" s="94">
        <f>COUNTIF($D123:$S123,"&gt;139")-$X123</f>
        <v>0</v>
      </c>
      <c r="X123" s="92">
        <f>COUNTIF($D123:$S123,"&gt;169")</f>
        <v>0</v>
      </c>
      <c r="Y123" s="92">
        <f>IF(AND(OR(SUM(T117:T123)=3,SUM(U117:U123)=3),Y121=0),1,0)</f>
        <v>0</v>
      </c>
      <c r="Z123" s="92">
        <f>IF(AND(ISBLANK(B123),SUM(D123:S123)=0),1,0)</f>
        <v>1</v>
      </c>
      <c r="AA123" s="92">
        <f>IF(AND(Y121=1,Y123=0,Z123=0),1,0)</f>
        <v>0</v>
      </c>
      <c r="AB123" s="92">
        <f>IF(OR(AND(T123=1,NOT(SUM(D123:S123)=501)),AND(U123=1,SUM(D123:S123)=501)),1,0)</f>
        <v>0</v>
      </c>
      <c r="AC123" s="92">
        <f>((16-COUNTBLANK(D123:S123))*3)+AG122</f>
        <v>0</v>
      </c>
      <c r="AD123" s="93"/>
      <c r="AE123" s="93"/>
      <c r="AF123" s="92"/>
      <c r="AG123" s="92"/>
      <c r="AH123" s="92">
        <f>V123+2.00001*W123+3.001*X123</f>
        <v>0</v>
      </c>
      <c r="AI123" s="92" t="s">
        <v>55</v>
      </c>
      <c r="AJ123" s="92">
        <f>SUM(AJ117:AJ121)</f>
        <v>0</v>
      </c>
      <c r="AK123" s="92">
        <f>SUM(AK117:AK121)</f>
        <v>0</v>
      </c>
      <c r="AL123" s="92">
        <f>SUM(AL117:AL121)</f>
        <v>0</v>
      </c>
      <c r="AM123" s="92">
        <f>IF(T123=1,AC123,0)</f>
        <v>0</v>
      </c>
      <c r="AN123" s="92"/>
      <c r="AO123" s="92"/>
      <c r="AP123" s="92"/>
      <c r="AQ123" s="92"/>
      <c r="AR123" s="92"/>
      <c r="AS123" s="92"/>
      <c r="AT123" s="92"/>
    </row>
    <row r="124" spans="2:46" ht="15" thickBot="1" x14ac:dyDescent="0.25">
      <c r="B124" s="37" t="str">
        <f>IF(SUM(D125:S125)=501,"Darts","")</f>
        <v/>
      </c>
      <c r="C124" s="32" t="str">
        <f>IF(OR(S114=1,A52=1),ROUND(SUM(D117:S117,D119:S119,D121:S121,D123:S123,D125:S125)/SUM(AC117:AC125),2),"")</f>
        <v/>
      </c>
      <c r="D124" s="33">
        <v>501</v>
      </c>
      <c r="E124" s="34">
        <f>IF(D125="",0,D124-D125)</f>
        <v>0</v>
      </c>
      <c r="F124" s="34">
        <f t="shared" ref="F124:S124" si="62">IF(E125="",0,E124-E125)</f>
        <v>0</v>
      </c>
      <c r="G124" s="34">
        <f t="shared" si="62"/>
        <v>0</v>
      </c>
      <c r="H124" s="34">
        <f t="shared" si="62"/>
        <v>0</v>
      </c>
      <c r="I124" s="34">
        <f t="shared" si="62"/>
        <v>0</v>
      </c>
      <c r="J124" s="34">
        <f t="shared" si="62"/>
        <v>0</v>
      </c>
      <c r="K124" s="34">
        <f t="shared" si="62"/>
        <v>0</v>
      </c>
      <c r="L124" s="34">
        <f t="shared" si="62"/>
        <v>0</v>
      </c>
      <c r="M124" s="34">
        <f t="shared" si="62"/>
        <v>0</v>
      </c>
      <c r="N124" s="34">
        <f t="shared" si="62"/>
        <v>0</v>
      </c>
      <c r="O124" s="34">
        <f t="shared" si="62"/>
        <v>0</v>
      </c>
      <c r="P124" s="34">
        <f t="shared" si="62"/>
        <v>0</v>
      </c>
      <c r="Q124" s="34">
        <f t="shared" si="62"/>
        <v>0</v>
      </c>
      <c r="R124" s="34">
        <f t="shared" si="62"/>
        <v>0</v>
      </c>
      <c r="S124" s="34">
        <f t="shared" si="62"/>
        <v>0</v>
      </c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  <c r="AE124" s="93"/>
      <c r="AF124" s="92"/>
      <c r="AG124" s="92">
        <f>IF(OR(B125=1,B125=2,B125=3),B125-3,0)</f>
        <v>0</v>
      </c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2:46" ht="15" thickBot="1" x14ac:dyDescent="0.25">
      <c r="B125" s="72"/>
      <c r="C125" s="31"/>
      <c r="D125" s="73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2">
        <f>IF(OR(B125=1,B125=2,B125=3),1,0)</f>
        <v>0</v>
      </c>
      <c r="U125" s="92">
        <f>IF(UPPER(B125)="L",1,0)</f>
        <v>0</v>
      </c>
      <c r="V125" s="94">
        <f>COUNTIF($D125:$S125,"&gt;99")-($X125+W125)</f>
        <v>0</v>
      </c>
      <c r="W125" s="94">
        <f>COUNTIF($D125:$S125,"&gt;139")-$X125</f>
        <v>0</v>
      </c>
      <c r="X125" s="92">
        <f>COUNTIF($D125:$S125,"&gt;169")</f>
        <v>0</v>
      </c>
      <c r="Y125" s="92">
        <f>IF(AND(OR(SUM(T117:T125)=3,SUM(U117:U125)=3),Y123=0,Y121=0),1,0)</f>
        <v>0</v>
      </c>
      <c r="Z125" s="92">
        <f>IF(AND(ISBLANK(B125),SUM(D125:S125)=0),1,0)</f>
        <v>1</v>
      </c>
      <c r="AA125" s="92">
        <f>IF(AND(Y125=0,Z125=0),1,0)</f>
        <v>0</v>
      </c>
      <c r="AB125" s="92">
        <f>IF(OR(AND(T125=1,NOT(SUM(D125:S125)=501)),AND(U125=1,SUM(D125:S125)=501)),1,0)</f>
        <v>0</v>
      </c>
      <c r="AC125" s="92">
        <f>((16-COUNTBLANK(D125:S125))*3)+AG124</f>
        <v>0</v>
      </c>
      <c r="AD125" s="93"/>
      <c r="AE125" s="93"/>
      <c r="AF125" s="92"/>
      <c r="AG125" s="92"/>
      <c r="AH125" s="92">
        <f>V125+2.00001*W125+3.001*X125</f>
        <v>0</v>
      </c>
      <c r="AI125" s="92"/>
      <c r="AJ125" s="92"/>
      <c r="AK125" s="92"/>
      <c r="AL125" s="92"/>
      <c r="AM125" s="92">
        <f>IF(T125=1,AC125,0)</f>
        <v>0</v>
      </c>
      <c r="AN125" s="92"/>
      <c r="AO125" s="92"/>
      <c r="AP125" s="92"/>
      <c r="AQ125" s="92"/>
      <c r="AR125" s="92"/>
      <c r="AS125" s="92"/>
      <c r="AT125" s="92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92">
        <f>SUM(T117:T125)</f>
        <v>0</v>
      </c>
      <c r="U126" s="92">
        <f>SUM(U117:U125)</f>
        <v>0</v>
      </c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2:46" ht="15" thickBot="1" x14ac:dyDescent="0.25">
      <c r="S131" s="75">
        <f>IF(OR(T143=3,U143=3),1,0)</f>
        <v>0</v>
      </c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2:46" ht="15" thickBot="1" x14ac:dyDescent="0.25">
      <c r="C132" s="29" t="s">
        <v>71</v>
      </c>
      <c r="D132" s="28">
        <v>3</v>
      </c>
      <c r="E132" s="28">
        <v>6</v>
      </c>
      <c r="F132" s="28">
        <v>9</v>
      </c>
      <c r="G132" s="28">
        <v>12</v>
      </c>
      <c r="H132" s="28">
        <v>15</v>
      </c>
      <c r="I132" s="28">
        <v>18</v>
      </c>
      <c r="J132" s="28">
        <v>21</v>
      </c>
      <c r="K132" s="28">
        <v>24</v>
      </c>
      <c r="L132" s="28">
        <v>27</v>
      </c>
      <c r="M132" s="28">
        <v>30</v>
      </c>
      <c r="N132" s="28">
        <v>33</v>
      </c>
      <c r="O132" s="28">
        <v>36</v>
      </c>
      <c r="P132" s="28">
        <v>39</v>
      </c>
      <c r="Q132" s="28">
        <v>42</v>
      </c>
      <c r="R132" s="28">
        <v>45</v>
      </c>
      <c r="S132" s="28">
        <v>48</v>
      </c>
      <c r="T132" s="92" t="s">
        <v>42</v>
      </c>
      <c r="U132" s="92" t="s">
        <v>43</v>
      </c>
      <c r="V132" s="92" t="s">
        <v>27</v>
      </c>
      <c r="W132" s="92" t="s">
        <v>28</v>
      </c>
      <c r="X132" s="92" t="s">
        <v>29</v>
      </c>
      <c r="Y132" s="92" t="s">
        <v>46</v>
      </c>
      <c r="Z132" s="92" t="s">
        <v>47</v>
      </c>
      <c r="AA132" s="92" t="s">
        <v>48</v>
      </c>
      <c r="AB132" s="92" t="s">
        <v>50</v>
      </c>
      <c r="AC132" s="92" t="s">
        <v>51</v>
      </c>
      <c r="AD132" s="93"/>
      <c r="AE132" s="93"/>
      <c r="AF132" s="92"/>
      <c r="AG132" s="92" t="s">
        <v>52</v>
      </c>
      <c r="AH132" s="92" t="s">
        <v>53</v>
      </c>
      <c r="AI132" s="92" t="s">
        <v>54</v>
      </c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2:46" ht="15" thickBot="1" x14ac:dyDescent="0.25">
      <c r="B133" s="37" t="str">
        <f>IF(SUM(D134:S134)=501,"Darts","")</f>
        <v/>
      </c>
      <c r="C133" s="27"/>
      <c r="D133" s="33">
        <v>501</v>
      </c>
      <c r="E133" s="34">
        <f>IF(D134="",0,D133-D134)</f>
        <v>0</v>
      </c>
      <c r="F133" s="34">
        <f t="shared" ref="F133:S133" si="68">IF(E134="",0,E133-E134)</f>
        <v>0</v>
      </c>
      <c r="G133" s="34">
        <f t="shared" si="68"/>
        <v>0</v>
      </c>
      <c r="H133" s="34">
        <f t="shared" si="68"/>
        <v>0</v>
      </c>
      <c r="I133" s="34">
        <f t="shared" si="68"/>
        <v>0</v>
      </c>
      <c r="J133" s="34">
        <f t="shared" si="68"/>
        <v>0</v>
      </c>
      <c r="K133" s="34">
        <f t="shared" si="68"/>
        <v>0</v>
      </c>
      <c r="L133" s="34">
        <f t="shared" si="68"/>
        <v>0</v>
      </c>
      <c r="M133" s="34">
        <f t="shared" si="68"/>
        <v>0</v>
      </c>
      <c r="N133" s="34">
        <f t="shared" si="68"/>
        <v>0</v>
      </c>
      <c r="O133" s="34">
        <f t="shared" si="68"/>
        <v>0</v>
      </c>
      <c r="P133" s="34">
        <f t="shared" si="68"/>
        <v>0</v>
      </c>
      <c r="Q133" s="34">
        <f t="shared" si="68"/>
        <v>0</v>
      </c>
      <c r="R133" s="34">
        <f t="shared" si="68"/>
        <v>0</v>
      </c>
      <c r="S133" s="34">
        <f t="shared" si="68"/>
        <v>0</v>
      </c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3">
        <f>IF(OR(OR(T143&lt;0,T143&gt;3),OR(U143&lt;0,U143&gt;3)),1,0)</f>
        <v>0</v>
      </c>
      <c r="AE133" s="93" t="s">
        <v>132</v>
      </c>
      <c r="AF133" s="92" t="s">
        <v>44</v>
      </c>
      <c r="AG133" s="92">
        <f>IF(OR(B134=1,B134=2,B134=3),B134-3,0)</f>
        <v>0</v>
      </c>
      <c r="AH133" s="92"/>
      <c r="AI133" s="92"/>
      <c r="AJ133" s="92" t="s">
        <v>29</v>
      </c>
      <c r="AK133" s="92" t="s">
        <v>28</v>
      </c>
      <c r="AL133" s="92" t="s">
        <v>27</v>
      </c>
      <c r="AM133" s="92"/>
      <c r="AN133" s="92"/>
      <c r="AO133" s="92"/>
      <c r="AP133" s="92"/>
      <c r="AQ133" s="92"/>
      <c r="AR133" s="92"/>
      <c r="AS133" s="92"/>
      <c r="AT133" s="92"/>
    </row>
    <row r="134" spans="2:46" ht="15" thickBot="1" x14ac:dyDescent="0.25">
      <c r="B134" s="72"/>
      <c r="C134" s="30" t="s">
        <v>40</v>
      </c>
      <c r="D134" s="73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2">
        <f>IF(OR(B134=1,B134=2,B134=3),1,0)</f>
        <v>0</v>
      </c>
      <c r="U134" s="92">
        <f>IF(UPPER(B134)="L",1,0)</f>
        <v>0</v>
      </c>
      <c r="V134" s="94">
        <f>COUNTIF($D134:$S134,"&gt;99")-($X134+W134)</f>
        <v>0</v>
      </c>
      <c r="W134" s="94">
        <f>COUNTIF($D134:$S134,"&gt;139")-$X134</f>
        <v>0</v>
      </c>
      <c r="X134" s="92">
        <f>COUNTIF($D134:$S134,"&gt;169")</f>
        <v>0</v>
      </c>
      <c r="Y134" s="92"/>
      <c r="Z134" s="92">
        <f>IF(AND(ISBLANK(B134),SUM(D134:S134)=0),1,0)</f>
        <v>1</v>
      </c>
      <c r="AA134" s="92"/>
      <c r="AB134" s="92">
        <f>IF(OR(AND(T134=1,NOT(SUM(D134:S134)=501)),AND(U134=1,SUM(D134:S134)=501)),1,0)</f>
        <v>0</v>
      </c>
      <c r="AC134" s="92">
        <f>((16-COUNTBLANK(D134:S134))*3)+AG133</f>
        <v>0</v>
      </c>
      <c r="AD134" s="93">
        <f>IF(SUM(AA140:AA142)&gt;0,1,0)</f>
        <v>0</v>
      </c>
      <c r="AE134" s="93" t="s">
        <v>133</v>
      </c>
      <c r="AF134" s="92" t="s">
        <v>45</v>
      </c>
      <c r="AG134" s="92"/>
      <c r="AH134" s="92">
        <f>V134+2.00001*W134+3.001*X134</f>
        <v>0</v>
      </c>
      <c r="AI134" s="92">
        <f>LARGE(AH134:AH142,1)</f>
        <v>0</v>
      </c>
      <c r="AJ134" s="92">
        <f>ROUND((AI134-ROUND(AI134,0))*1000,0)</f>
        <v>0</v>
      </c>
      <c r="AK134" s="92">
        <f>(AI134-ROUND(AI134,3))*100000</f>
        <v>0</v>
      </c>
      <c r="AL134" s="92">
        <f>ROUND(AI134,0)-(2*AK134)-(3*AJ134)</f>
        <v>0</v>
      </c>
      <c r="AM134" s="92">
        <f>IF(T134=1,AC134,0)</f>
        <v>0</v>
      </c>
      <c r="AN134" s="92"/>
      <c r="AO134" s="92"/>
      <c r="AP134" s="92"/>
      <c r="AQ134" s="92"/>
      <c r="AR134" s="92"/>
      <c r="AS134" s="92"/>
      <c r="AT134" s="92"/>
    </row>
    <row r="135" spans="2:46" ht="15" thickBot="1" x14ac:dyDescent="0.25">
      <c r="B135" s="37" t="str">
        <f>IF(SUM(D136:S136)=501,"Darts","")</f>
        <v/>
      </c>
      <c r="C135" s="30"/>
      <c r="D135" s="34">
        <v>501</v>
      </c>
      <c r="E135" s="34">
        <f>IF(D136="",0,D135-D136)</f>
        <v>0</v>
      </c>
      <c r="F135" s="34">
        <f t="shared" ref="F135:S135" si="69">IF(E136="",0,E135-E136)</f>
        <v>0</v>
      </c>
      <c r="G135" s="34">
        <f t="shared" si="69"/>
        <v>0</v>
      </c>
      <c r="H135" s="34">
        <f t="shared" si="69"/>
        <v>0</v>
      </c>
      <c r="I135" s="34">
        <f t="shared" si="69"/>
        <v>0</v>
      </c>
      <c r="J135" s="34">
        <f t="shared" si="69"/>
        <v>0</v>
      </c>
      <c r="K135" s="34">
        <f t="shared" si="69"/>
        <v>0</v>
      </c>
      <c r="L135" s="34">
        <f t="shared" si="69"/>
        <v>0</v>
      </c>
      <c r="M135" s="34">
        <f t="shared" si="69"/>
        <v>0</v>
      </c>
      <c r="N135" s="34">
        <f t="shared" si="69"/>
        <v>0</v>
      </c>
      <c r="O135" s="34">
        <f t="shared" si="69"/>
        <v>0</v>
      </c>
      <c r="P135" s="34">
        <f t="shared" si="69"/>
        <v>0</v>
      </c>
      <c r="Q135" s="34">
        <f t="shared" si="69"/>
        <v>0</v>
      </c>
      <c r="R135" s="34">
        <f t="shared" si="69"/>
        <v>0</v>
      </c>
      <c r="S135" s="34">
        <f t="shared" si="69"/>
        <v>0</v>
      </c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3">
        <f>IF(SUM(AB134:AB142)&gt;0,1,0)</f>
        <v>0</v>
      </c>
      <c r="AE135" s="93" t="s">
        <v>134</v>
      </c>
      <c r="AF135" s="92" t="s">
        <v>49</v>
      </c>
      <c r="AG135" s="92">
        <f>IF(OR(B136=1,B136=2,B136=3),B136-3,0)</f>
        <v>0</v>
      </c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2:46" ht="15" thickBot="1" x14ac:dyDescent="0.25">
      <c r="B136" s="72"/>
      <c r="C136" s="35" t="str">
        <f>IF(ISBLANK(C20),"",C20)</f>
        <v/>
      </c>
      <c r="D136" s="73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92">
        <f>IF(OR(B136=1,B136=2,B136=3),1,0)</f>
        <v>0</v>
      </c>
      <c r="U136" s="92">
        <f>IF(UPPER(B136)="L",1,0)</f>
        <v>0</v>
      </c>
      <c r="V136" s="94">
        <f>COUNTIF($D136:$S136,"&gt;99")-($X136+W136)</f>
        <v>0</v>
      </c>
      <c r="W136" s="94">
        <f>COUNTIF($D136:$S136,"&gt;139")-$X136</f>
        <v>0</v>
      </c>
      <c r="X136" s="92">
        <f>COUNTIF($D136:$S136,"&gt;169")</f>
        <v>0</v>
      </c>
      <c r="Y136" s="92"/>
      <c r="Z136" s="92">
        <f>IF(AND(ISBLANK(B136),SUM(D136:S136)=0),1,0)</f>
        <v>1</v>
      </c>
      <c r="AA136" s="92"/>
      <c r="AB136" s="92">
        <f>IF(OR(AND(T136=1,NOT(SUM(D136:S136)=501)),AND(U136=1,SUM(D136:S136)=501)),1,0)</f>
        <v>0</v>
      </c>
      <c r="AC136" s="92">
        <f>((16-COUNTBLANK(D136:S136))*3)+AG135</f>
        <v>0</v>
      </c>
      <c r="AD136" s="93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93" t="s">
        <v>134</v>
      </c>
      <c r="AF136" s="92" t="s">
        <v>63</v>
      </c>
      <c r="AG136" s="92"/>
      <c r="AH136" s="92">
        <f>V136+2.00001*W136+3.001*X136</f>
        <v>0</v>
      </c>
      <c r="AI136" s="92">
        <f>LARGE(AH134:AH142,2)</f>
        <v>0</v>
      </c>
      <c r="AJ136" s="92">
        <f>ROUND((AI136-ROUND(AI136,0))*1000,0)</f>
        <v>0</v>
      </c>
      <c r="AK136" s="92">
        <f>(AI136-ROUND(AI136,3))*100000</f>
        <v>0</v>
      </c>
      <c r="AL136" s="92">
        <f>ROUND(AI136,0)-(2*AK136)-(3*AJ136)</f>
        <v>0</v>
      </c>
      <c r="AM136" s="92">
        <f>IF(T136=1,AC136,0)</f>
        <v>0</v>
      </c>
      <c r="AN136" s="92"/>
      <c r="AO136" s="92"/>
      <c r="AP136" s="92"/>
      <c r="AQ136" s="92"/>
      <c r="AR136" s="92"/>
      <c r="AS136" s="92"/>
      <c r="AT136" s="92"/>
    </row>
    <row r="137" spans="2:46" ht="15" thickBot="1" x14ac:dyDescent="0.25">
      <c r="B137" s="37" t="str">
        <f>IF(SUM(D138:S138)=501,"Darts","")</f>
        <v/>
      </c>
      <c r="C137" s="30"/>
      <c r="D137" s="33">
        <v>501</v>
      </c>
      <c r="E137" s="34">
        <f>IF(D138="",0,D137-D138)</f>
        <v>0</v>
      </c>
      <c r="F137" s="34">
        <f t="shared" ref="F137:S137" si="70">IF(E138="",0,E137-E138)</f>
        <v>0</v>
      </c>
      <c r="G137" s="34">
        <f t="shared" si="70"/>
        <v>0</v>
      </c>
      <c r="H137" s="34">
        <f t="shared" si="70"/>
        <v>0</v>
      </c>
      <c r="I137" s="34">
        <f t="shared" si="70"/>
        <v>0</v>
      </c>
      <c r="J137" s="34">
        <f t="shared" si="70"/>
        <v>0</v>
      </c>
      <c r="K137" s="34">
        <f t="shared" si="70"/>
        <v>0</v>
      </c>
      <c r="L137" s="34">
        <f t="shared" si="70"/>
        <v>0</v>
      </c>
      <c r="M137" s="34">
        <f t="shared" si="70"/>
        <v>0</v>
      </c>
      <c r="N137" s="34">
        <f t="shared" si="70"/>
        <v>0</v>
      </c>
      <c r="O137" s="34">
        <f t="shared" si="70"/>
        <v>0</v>
      </c>
      <c r="P137" s="34">
        <f t="shared" si="70"/>
        <v>0</v>
      </c>
      <c r="Q137" s="34">
        <f t="shared" si="70"/>
        <v>0</v>
      </c>
      <c r="R137" s="34">
        <f t="shared" si="70"/>
        <v>0</v>
      </c>
      <c r="S137" s="34">
        <f t="shared" si="70"/>
        <v>0</v>
      </c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3">
        <f>IF(OR(AND(B134="L",C143&gt;0),AND(B136="L",C144&gt;0),AND(B138="L",C145&gt;0),AND(B140="L",C146&gt;0),AND(B142="L",C147&gt;0)),1,0)</f>
        <v>0</v>
      </c>
      <c r="AE137" s="93" t="s">
        <v>134</v>
      </c>
      <c r="AF137" s="92" t="s">
        <v>67</v>
      </c>
      <c r="AG137" s="92">
        <f>IF(OR(B138=1,B138=2,B138=3),B138-3,0)</f>
        <v>0</v>
      </c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2:46" ht="15" thickBot="1" x14ac:dyDescent="0.25">
      <c r="B138" s="72"/>
      <c r="C138" s="31"/>
      <c r="D138" s="73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92">
        <f>IF(OR(B138=1,B138=2,B138=3),1,0)</f>
        <v>0</v>
      </c>
      <c r="U138" s="92">
        <f>IF(UPPER(B138)="L",1,0)</f>
        <v>0</v>
      </c>
      <c r="V138" s="94">
        <f>COUNTIF($D138:$S138,"&gt;99")-($X138+W138)</f>
        <v>0</v>
      </c>
      <c r="W138" s="94">
        <f>COUNTIF($D138:$S138,"&gt;139")-$X138</f>
        <v>0</v>
      </c>
      <c r="X138" s="92">
        <f>COUNTIF($D138:$S138,"&gt;169")</f>
        <v>0</v>
      </c>
      <c r="Y138" s="92">
        <f>IF(OR(SUM(T134:T138)=3,SUM(U134:U138)=3),1,0)</f>
        <v>0</v>
      </c>
      <c r="Z138" s="92">
        <f>IF(AND(ISBLANK(B138),SUM(D138:S138)=0),1,0)</f>
        <v>1</v>
      </c>
      <c r="AA138" s="92"/>
      <c r="AB138" s="92">
        <f>IF(OR(AND(T138=1,NOT(SUM(D138:S138)=501)),AND(U138=1,SUM(D138:S138)=501)),1,0)</f>
        <v>0</v>
      </c>
      <c r="AC138" s="92">
        <f>((16-COUNTBLANK(D138:S138))*3)+AG137</f>
        <v>0</v>
      </c>
      <c r="AD138" s="93">
        <f>IF(OR(AND(ISNUMBER(B134),C143=0),AND(ISNUMBER(B136),C144=0),AND(ISNUMBER(B138),C145=0),AND(ISNUMBER(B140),C146=0),AND(ISNUMBER(B142),C147=0)),1,0)</f>
        <v>0</v>
      </c>
      <c r="AE138" s="93" t="s">
        <v>134</v>
      </c>
      <c r="AF138" s="92" t="s">
        <v>64</v>
      </c>
      <c r="AG138" s="92"/>
      <c r="AH138" s="92">
        <f>V138+2.00001*W138+3.001*X138</f>
        <v>0</v>
      </c>
      <c r="AI138" s="92">
        <f>LARGE(AH134:AH142,3)</f>
        <v>0</v>
      </c>
      <c r="AJ138" s="92">
        <f>ROUND((AI138-ROUND(AI138,0))*1000,0)</f>
        <v>0</v>
      </c>
      <c r="AK138" s="92">
        <f>(AI138-ROUND(AI138,3))*100000</f>
        <v>0</v>
      </c>
      <c r="AL138" s="92">
        <f>ROUND(AI138,0)-(2*AK138)-(3*AJ138)</f>
        <v>0</v>
      </c>
      <c r="AM138" s="92">
        <f>IF(T138=1,AC138,0)</f>
        <v>0</v>
      </c>
      <c r="AN138" s="92"/>
      <c r="AO138" s="92"/>
      <c r="AP138" s="92"/>
      <c r="AQ138" s="92"/>
      <c r="AR138" s="92"/>
      <c r="AS138" s="92"/>
      <c r="AT138" s="92"/>
    </row>
    <row r="139" spans="2:46" ht="15" thickBot="1" x14ac:dyDescent="0.25">
      <c r="B139" s="37" t="str">
        <f>IF(SUM(D140:S140)=501,"Darts","")</f>
        <v/>
      </c>
      <c r="C139" s="27" t="s">
        <v>41</v>
      </c>
      <c r="D139" s="33">
        <v>501</v>
      </c>
      <c r="E139" s="34">
        <f>IF(D140="",0,D139-D140)</f>
        <v>0</v>
      </c>
      <c r="F139" s="34">
        <f t="shared" ref="F139:S139" si="71">IF(E140="",0,E139-E140)</f>
        <v>0</v>
      </c>
      <c r="G139" s="34">
        <f t="shared" si="71"/>
        <v>0</v>
      </c>
      <c r="H139" s="34">
        <f t="shared" si="71"/>
        <v>0</v>
      </c>
      <c r="I139" s="34">
        <f t="shared" si="71"/>
        <v>0</v>
      </c>
      <c r="J139" s="34">
        <f t="shared" si="71"/>
        <v>0</v>
      </c>
      <c r="K139" s="34">
        <f t="shared" si="71"/>
        <v>0</v>
      </c>
      <c r="L139" s="34">
        <f t="shared" si="71"/>
        <v>0</v>
      </c>
      <c r="M139" s="34">
        <f t="shared" si="71"/>
        <v>0</v>
      </c>
      <c r="N139" s="34">
        <f t="shared" si="71"/>
        <v>0</v>
      </c>
      <c r="O139" s="34">
        <f t="shared" si="71"/>
        <v>0</v>
      </c>
      <c r="P139" s="34">
        <f t="shared" si="71"/>
        <v>0</v>
      </c>
      <c r="Q139" s="34">
        <f t="shared" si="71"/>
        <v>0</v>
      </c>
      <c r="R139" s="34">
        <f t="shared" si="71"/>
        <v>0</v>
      </c>
      <c r="S139" s="34">
        <f t="shared" si="71"/>
        <v>0</v>
      </c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3"/>
      <c r="AE139" s="93"/>
      <c r="AF139" s="92"/>
      <c r="AG139" s="92">
        <f>IF(OR(B140=1,B140=2,B140=3),B140-3,0)</f>
        <v>0</v>
      </c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2:46" ht="15" thickBot="1" x14ac:dyDescent="0.25">
      <c r="B140" s="72"/>
      <c r="C140" s="32" t="str">
        <f>IF(S131=1,IF(T143=3,"WON","LOST"),"")</f>
        <v/>
      </c>
      <c r="D140" s="73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92">
        <f>IF(OR(B140=1,B140=2,B140=3),1,0)</f>
        <v>0</v>
      </c>
      <c r="U140" s="92">
        <f>IF(UPPER(B140)="L",1,0)</f>
        <v>0</v>
      </c>
      <c r="V140" s="94">
        <f>COUNTIF($D140:$S140,"&gt;99")-($X140+W140)</f>
        <v>0</v>
      </c>
      <c r="W140" s="94">
        <f>COUNTIF($D140:$S140,"&gt;139")-$X140</f>
        <v>0</v>
      </c>
      <c r="X140" s="92">
        <f>COUNTIF($D140:$S140,"&gt;169")</f>
        <v>0</v>
      </c>
      <c r="Y140" s="92">
        <f>IF(AND(OR(SUM(T134:T140)=3,SUM(U134:U140)=3),Y138=0),1,0)</f>
        <v>0</v>
      </c>
      <c r="Z140" s="92">
        <f>IF(AND(ISBLANK(B140),SUM(D140:S140)=0),1,0)</f>
        <v>1</v>
      </c>
      <c r="AA140" s="92">
        <f>IF(AND(Y138=1,Y140=0,Z140=0),1,0)</f>
        <v>0</v>
      </c>
      <c r="AB140" s="92">
        <f>IF(OR(AND(T140=1,NOT(SUM(D140:S140)=501)),AND(U140=1,SUM(D140:S140)=501)),1,0)</f>
        <v>0</v>
      </c>
      <c r="AC140" s="92">
        <f>((16-COUNTBLANK(D140:S140))*3)+AG139</f>
        <v>0</v>
      </c>
      <c r="AD140" s="93"/>
      <c r="AE140" s="93"/>
      <c r="AF140" s="92"/>
      <c r="AG140" s="92"/>
      <c r="AH140" s="92">
        <f>V140+2.00001*W140+3.001*X140</f>
        <v>0</v>
      </c>
      <c r="AI140" s="92" t="s">
        <v>55</v>
      </c>
      <c r="AJ140" s="92">
        <f>SUM(AJ134:AJ138)</f>
        <v>0</v>
      </c>
      <c r="AK140" s="92">
        <f>SUM(AK134:AK138)</f>
        <v>0</v>
      </c>
      <c r="AL140" s="92">
        <f>SUM(AL134:AL138)</f>
        <v>0</v>
      </c>
      <c r="AM140" s="92">
        <f>IF(T140=1,AC140,0)</f>
        <v>0</v>
      </c>
      <c r="AN140" s="92"/>
      <c r="AO140" s="92"/>
      <c r="AP140" s="92"/>
      <c r="AQ140" s="92"/>
      <c r="AR140" s="92"/>
      <c r="AS140" s="92"/>
      <c r="AT140" s="92"/>
    </row>
    <row r="141" spans="2:46" ht="15" thickBot="1" x14ac:dyDescent="0.25">
      <c r="B141" s="37" t="str">
        <f>IF(SUM(D142:S142)=501,"Darts","")</f>
        <v/>
      </c>
      <c r="C141" s="32" t="str">
        <f>IF(OR(S131=1,A69=1),ROUND(SUM(D134:S134,D136:S136,D138:S138,D140:S140,D142:S142)/SUM(AC134:AC142),2),"")</f>
        <v/>
      </c>
      <c r="D141" s="33">
        <v>501</v>
      </c>
      <c r="E141" s="34">
        <f>IF(D142="",0,D141-D142)</f>
        <v>0</v>
      </c>
      <c r="F141" s="34">
        <f t="shared" ref="F141:S141" si="72">IF(E142="",0,E141-E142)</f>
        <v>0</v>
      </c>
      <c r="G141" s="34">
        <f t="shared" si="72"/>
        <v>0</v>
      </c>
      <c r="H141" s="34">
        <f t="shared" si="72"/>
        <v>0</v>
      </c>
      <c r="I141" s="34">
        <f t="shared" si="72"/>
        <v>0</v>
      </c>
      <c r="J141" s="34">
        <f t="shared" si="72"/>
        <v>0</v>
      </c>
      <c r="K141" s="34">
        <f t="shared" si="72"/>
        <v>0</v>
      </c>
      <c r="L141" s="34">
        <f t="shared" si="72"/>
        <v>0</v>
      </c>
      <c r="M141" s="34">
        <f t="shared" si="72"/>
        <v>0</v>
      </c>
      <c r="N141" s="34">
        <f t="shared" si="72"/>
        <v>0</v>
      </c>
      <c r="O141" s="34">
        <f t="shared" si="72"/>
        <v>0</v>
      </c>
      <c r="P141" s="34">
        <f t="shared" si="72"/>
        <v>0</v>
      </c>
      <c r="Q141" s="34">
        <f t="shared" si="72"/>
        <v>0</v>
      </c>
      <c r="R141" s="34">
        <f t="shared" si="72"/>
        <v>0</v>
      </c>
      <c r="S141" s="34">
        <f t="shared" si="72"/>
        <v>0</v>
      </c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3"/>
      <c r="AE141" s="93"/>
      <c r="AF141" s="92"/>
      <c r="AG141" s="92">
        <f>IF(OR(B142=1,B142=2,B142=3),B142-3,0)</f>
        <v>0</v>
      </c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:46" ht="15" thickBot="1" x14ac:dyDescent="0.25">
      <c r="B142" s="72"/>
      <c r="C142" s="31"/>
      <c r="D142" s="73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92">
        <f>IF(OR(B142=1,B142=2,B142=3),1,0)</f>
        <v>0</v>
      </c>
      <c r="U142" s="92">
        <f>IF(UPPER(B142)="L",1,0)</f>
        <v>0</v>
      </c>
      <c r="V142" s="94">
        <f>COUNTIF($D142:$S142,"&gt;99")-($X142+W142)</f>
        <v>0</v>
      </c>
      <c r="W142" s="94">
        <f>COUNTIF($D142:$S142,"&gt;139")-$X142</f>
        <v>0</v>
      </c>
      <c r="X142" s="92">
        <f>COUNTIF($D142:$S142,"&gt;169")</f>
        <v>0</v>
      </c>
      <c r="Y142" s="92">
        <f>IF(AND(OR(SUM(T134:T142)=3,SUM(U134:U142)=3),Y140=0,Y138=0),1,0)</f>
        <v>0</v>
      </c>
      <c r="Z142" s="92">
        <f>IF(AND(ISBLANK(B142),SUM(D142:S142)=0),1,0)</f>
        <v>1</v>
      </c>
      <c r="AA142" s="92">
        <f>IF(AND(Y142=0,Z142=0),1,0)</f>
        <v>0</v>
      </c>
      <c r="AB142" s="92">
        <f>IF(OR(AND(T142=1,NOT(SUM(D142:S142)=501)),AND(U142=1,SUM(D142:S142)=501)),1,0)</f>
        <v>0</v>
      </c>
      <c r="AC142" s="92">
        <f>((16-COUNTBLANK(D142:S142))*3)+AG141</f>
        <v>0</v>
      </c>
      <c r="AD142" s="93"/>
      <c r="AE142" s="93"/>
      <c r="AF142" s="92"/>
      <c r="AG142" s="92"/>
      <c r="AH142" s="92">
        <f>V142+2.00001*W142+3.001*X142</f>
        <v>0</v>
      </c>
      <c r="AI142" s="92"/>
      <c r="AJ142" s="92"/>
      <c r="AK142" s="92"/>
      <c r="AL142" s="92"/>
      <c r="AM142" s="92">
        <f>IF(T142=1,AC142,0)</f>
        <v>0</v>
      </c>
      <c r="AN142" s="92"/>
      <c r="AO142" s="92"/>
      <c r="AP142" s="92"/>
      <c r="AQ142" s="92"/>
      <c r="AR142" s="92"/>
      <c r="AS142" s="92"/>
      <c r="AT142" s="92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92">
        <f>SUM(T134:T142)</f>
        <v>0</v>
      </c>
      <c r="U143" s="92">
        <f>SUM(U134:U142)</f>
        <v>0</v>
      </c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2:46" ht="15" thickBot="1" x14ac:dyDescent="0.25">
      <c r="S148" s="75">
        <f>IF(OR(T160=3,U160=3),1,0)</f>
        <v>0</v>
      </c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2:46" ht="15" thickBot="1" x14ac:dyDescent="0.25">
      <c r="C149" s="29" t="s">
        <v>72</v>
      </c>
      <c r="D149" s="28">
        <v>3</v>
      </c>
      <c r="E149" s="28">
        <v>6</v>
      </c>
      <c r="F149" s="28">
        <v>9</v>
      </c>
      <c r="G149" s="28">
        <v>12</v>
      </c>
      <c r="H149" s="28">
        <v>15</v>
      </c>
      <c r="I149" s="28">
        <v>18</v>
      </c>
      <c r="J149" s="28">
        <v>21</v>
      </c>
      <c r="K149" s="28">
        <v>24</v>
      </c>
      <c r="L149" s="28">
        <v>27</v>
      </c>
      <c r="M149" s="28">
        <v>30</v>
      </c>
      <c r="N149" s="28">
        <v>33</v>
      </c>
      <c r="O149" s="28">
        <v>36</v>
      </c>
      <c r="P149" s="28">
        <v>39</v>
      </c>
      <c r="Q149" s="28">
        <v>42</v>
      </c>
      <c r="R149" s="28">
        <v>45</v>
      </c>
      <c r="S149" s="28">
        <v>48</v>
      </c>
      <c r="T149" s="92" t="s">
        <v>42</v>
      </c>
      <c r="U149" s="92" t="s">
        <v>43</v>
      </c>
      <c r="V149" s="92" t="s">
        <v>27</v>
      </c>
      <c r="W149" s="92" t="s">
        <v>28</v>
      </c>
      <c r="X149" s="92" t="s">
        <v>29</v>
      </c>
      <c r="Y149" s="92" t="s">
        <v>46</v>
      </c>
      <c r="Z149" s="92" t="s">
        <v>47</v>
      </c>
      <c r="AA149" s="92" t="s">
        <v>48</v>
      </c>
      <c r="AB149" s="92" t="s">
        <v>50</v>
      </c>
      <c r="AC149" s="92" t="s">
        <v>51</v>
      </c>
      <c r="AD149" s="93"/>
      <c r="AE149" s="93"/>
      <c r="AF149" s="92"/>
      <c r="AG149" s="92" t="s">
        <v>52</v>
      </c>
      <c r="AH149" s="92" t="s">
        <v>53</v>
      </c>
      <c r="AI149" s="92" t="s">
        <v>54</v>
      </c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2:46" ht="15" thickBot="1" x14ac:dyDescent="0.25">
      <c r="B150" s="37" t="str">
        <f>IF(SUM(D151:S151)=501,"Darts","")</f>
        <v/>
      </c>
      <c r="C150" s="27"/>
      <c r="D150" s="33">
        <v>501</v>
      </c>
      <c r="E150" s="34">
        <f>IF(D151="",0,D150-D151)</f>
        <v>0</v>
      </c>
      <c r="F150" s="34">
        <f t="shared" ref="F150:S150" si="78">IF(E151="",0,E150-E151)</f>
        <v>0</v>
      </c>
      <c r="G150" s="34">
        <f t="shared" si="78"/>
        <v>0</v>
      </c>
      <c r="H150" s="34">
        <f t="shared" si="78"/>
        <v>0</v>
      </c>
      <c r="I150" s="34">
        <f t="shared" si="78"/>
        <v>0</v>
      </c>
      <c r="J150" s="34">
        <f t="shared" si="78"/>
        <v>0</v>
      </c>
      <c r="K150" s="34">
        <f t="shared" si="78"/>
        <v>0</v>
      </c>
      <c r="L150" s="34">
        <f t="shared" si="78"/>
        <v>0</v>
      </c>
      <c r="M150" s="34">
        <f t="shared" si="78"/>
        <v>0</v>
      </c>
      <c r="N150" s="34">
        <f t="shared" si="78"/>
        <v>0</v>
      </c>
      <c r="O150" s="34">
        <f t="shared" si="78"/>
        <v>0</v>
      </c>
      <c r="P150" s="34">
        <f t="shared" si="78"/>
        <v>0</v>
      </c>
      <c r="Q150" s="34">
        <f t="shared" si="78"/>
        <v>0</v>
      </c>
      <c r="R150" s="34">
        <f t="shared" si="78"/>
        <v>0</v>
      </c>
      <c r="S150" s="34">
        <f t="shared" si="78"/>
        <v>0</v>
      </c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3">
        <f>IF(OR(OR(T160&lt;0,T160&gt;3),OR(U160&lt;0,U160&gt;3)),1,0)</f>
        <v>0</v>
      </c>
      <c r="AE150" s="93" t="s">
        <v>135</v>
      </c>
      <c r="AF150" s="92" t="s">
        <v>44</v>
      </c>
      <c r="AG150" s="92">
        <f>IF(OR(B151=1,B151=2,B151=3),B151-3,0)</f>
        <v>0</v>
      </c>
      <c r="AH150" s="92"/>
      <c r="AI150" s="92"/>
      <c r="AJ150" s="92" t="s">
        <v>29</v>
      </c>
      <c r="AK150" s="92" t="s">
        <v>28</v>
      </c>
      <c r="AL150" s="92" t="s">
        <v>27</v>
      </c>
      <c r="AM150" s="92"/>
      <c r="AN150" s="92"/>
      <c r="AO150" s="92"/>
      <c r="AP150" s="92"/>
      <c r="AQ150" s="92"/>
      <c r="AR150" s="92"/>
      <c r="AS150" s="92"/>
      <c r="AT150" s="92"/>
    </row>
    <row r="151" spans="2:46" ht="15" thickBot="1" x14ac:dyDescent="0.25">
      <c r="B151" s="72"/>
      <c r="C151" s="30" t="s">
        <v>40</v>
      </c>
      <c r="D151" s="73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92">
        <f>IF(OR(B151=1,B151=2,B151=3),1,0)</f>
        <v>0</v>
      </c>
      <c r="U151" s="92">
        <f>IF(UPPER(B151)="L",1,0)</f>
        <v>0</v>
      </c>
      <c r="V151" s="94">
        <f>COUNTIF($D151:$S151,"&gt;99")-($X151+W151)</f>
        <v>0</v>
      </c>
      <c r="W151" s="94">
        <f>COUNTIF($D151:$S151,"&gt;139")-$X151</f>
        <v>0</v>
      </c>
      <c r="X151" s="92">
        <f>COUNTIF($D151:$S151,"&gt;169")</f>
        <v>0</v>
      </c>
      <c r="Y151" s="92"/>
      <c r="Z151" s="92">
        <f>IF(AND(ISBLANK(B151),SUM(D151:S151)=0),1,0)</f>
        <v>1</v>
      </c>
      <c r="AA151" s="92"/>
      <c r="AB151" s="92">
        <f>IF(OR(AND(T151=1,NOT(SUM(D151:S151)=501)),AND(U151=1,SUM(D151:S151)=501)),1,0)</f>
        <v>0</v>
      </c>
      <c r="AC151" s="92">
        <f>((16-COUNTBLANK(D151:S151))*3)+AG150</f>
        <v>0</v>
      </c>
      <c r="AD151" s="93">
        <f>IF(SUM(AA157:AA159)&gt;0,1,0)</f>
        <v>0</v>
      </c>
      <c r="AE151" s="93" t="s">
        <v>136</v>
      </c>
      <c r="AF151" s="92" t="s">
        <v>45</v>
      </c>
      <c r="AG151" s="92"/>
      <c r="AH151" s="92">
        <f>V151+2.00001*W151+3.001*X151</f>
        <v>0</v>
      </c>
      <c r="AI151" s="92">
        <f>LARGE(AH151:AH159,1)</f>
        <v>0</v>
      </c>
      <c r="AJ151" s="92">
        <f>ROUND((AI151-ROUND(AI151,0))*1000,0)</f>
        <v>0</v>
      </c>
      <c r="AK151" s="92">
        <f>(AI151-ROUND(AI151,3))*100000</f>
        <v>0</v>
      </c>
      <c r="AL151" s="92">
        <f>ROUND(AI151,0)-(2*AK151)-(3*AJ151)</f>
        <v>0</v>
      </c>
      <c r="AM151" s="92">
        <f>IF(T151=1,AC151,0)</f>
        <v>0</v>
      </c>
      <c r="AN151" s="92"/>
      <c r="AO151" s="92"/>
      <c r="AP151" s="92"/>
      <c r="AQ151" s="92"/>
      <c r="AR151" s="92"/>
      <c r="AS151" s="92"/>
      <c r="AT151" s="92"/>
    </row>
    <row r="152" spans="2:46" ht="15" thickBot="1" x14ac:dyDescent="0.25">
      <c r="B152" s="37" t="str">
        <f>IF(SUM(D153:S153)=501,"Darts","")</f>
        <v/>
      </c>
      <c r="C152" s="30"/>
      <c r="D152" s="34">
        <v>501</v>
      </c>
      <c r="E152" s="34">
        <f>IF(D153="",0,D152-D153)</f>
        <v>0</v>
      </c>
      <c r="F152" s="34">
        <f t="shared" ref="F152:S152" si="79">IF(E153="",0,E152-E153)</f>
        <v>0</v>
      </c>
      <c r="G152" s="34">
        <f t="shared" si="79"/>
        <v>0</v>
      </c>
      <c r="H152" s="34">
        <f t="shared" si="79"/>
        <v>0</v>
      </c>
      <c r="I152" s="34">
        <f t="shared" si="79"/>
        <v>0</v>
      </c>
      <c r="J152" s="34">
        <f t="shared" si="79"/>
        <v>0</v>
      </c>
      <c r="K152" s="34">
        <f t="shared" si="79"/>
        <v>0</v>
      </c>
      <c r="L152" s="34">
        <f t="shared" si="79"/>
        <v>0</v>
      </c>
      <c r="M152" s="34">
        <f t="shared" si="79"/>
        <v>0</v>
      </c>
      <c r="N152" s="34">
        <f t="shared" si="79"/>
        <v>0</v>
      </c>
      <c r="O152" s="34">
        <f t="shared" si="79"/>
        <v>0</v>
      </c>
      <c r="P152" s="34">
        <f t="shared" si="79"/>
        <v>0</v>
      </c>
      <c r="Q152" s="34">
        <f t="shared" si="79"/>
        <v>0</v>
      </c>
      <c r="R152" s="34">
        <f t="shared" si="79"/>
        <v>0</v>
      </c>
      <c r="S152" s="34">
        <f t="shared" si="79"/>
        <v>0</v>
      </c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3">
        <f>IF(SUM(AB151:AB159)&gt;0,1,0)</f>
        <v>0</v>
      </c>
      <c r="AE152" s="93" t="s">
        <v>137</v>
      </c>
      <c r="AF152" s="92" t="s">
        <v>49</v>
      </c>
      <c r="AG152" s="92">
        <f>IF(OR(B153=1,B153=2,B153=3),B153-3,0)</f>
        <v>0</v>
      </c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2:46" ht="15" thickBot="1" x14ac:dyDescent="0.25">
      <c r="B153" s="72"/>
      <c r="C153" s="35" t="str">
        <f>IF(ISBLANK(C21),"",C21)</f>
        <v xml:space="preserve"> </v>
      </c>
      <c r="D153" s="73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92">
        <f>IF(OR(B153=1,B153=2,B153=3),1,0)</f>
        <v>0</v>
      </c>
      <c r="U153" s="92">
        <f>IF(UPPER(B153)="L",1,0)</f>
        <v>0</v>
      </c>
      <c r="V153" s="94">
        <f>COUNTIF($D153:$S153,"&gt;99")-($X153+W153)</f>
        <v>0</v>
      </c>
      <c r="W153" s="94">
        <f>COUNTIF($D153:$S153,"&gt;139")-$X153</f>
        <v>0</v>
      </c>
      <c r="X153" s="92">
        <f>COUNTIF($D153:$S153,"&gt;169")</f>
        <v>0</v>
      </c>
      <c r="Y153" s="92"/>
      <c r="Z153" s="92">
        <f>IF(AND(ISBLANK(B153),SUM(D153:S153)=0),1,0)</f>
        <v>1</v>
      </c>
      <c r="AA153" s="92"/>
      <c r="AB153" s="92">
        <f>IF(OR(AND(T153=1,NOT(SUM(D153:S153)=501)),AND(U153=1,SUM(D153:S153)=501)),1,0)</f>
        <v>0</v>
      </c>
      <c r="AC153" s="92">
        <f>((16-COUNTBLANK(D153:S153))*3)+AG152</f>
        <v>0</v>
      </c>
      <c r="AD153" s="93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93" t="s">
        <v>137</v>
      </c>
      <c r="AF153" s="92" t="s">
        <v>63</v>
      </c>
      <c r="AG153" s="92"/>
      <c r="AH153" s="92">
        <f>V153+2.00001*W153+3.001*X153</f>
        <v>0</v>
      </c>
      <c r="AI153" s="92">
        <f>LARGE(AH151:AH159,2)</f>
        <v>0</v>
      </c>
      <c r="AJ153" s="92">
        <f>ROUND((AI153-ROUND(AI153,0))*1000,0)</f>
        <v>0</v>
      </c>
      <c r="AK153" s="92">
        <f>(AI153-ROUND(AI153,3))*100000</f>
        <v>0</v>
      </c>
      <c r="AL153" s="92">
        <f>ROUND(AI153,0)-(2*AK153)-(3*AJ153)</f>
        <v>0</v>
      </c>
      <c r="AM153" s="92">
        <f>IF(T153=1,AC153,0)</f>
        <v>0</v>
      </c>
      <c r="AN153" s="92"/>
      <c r="AO153" s="92"/>
      <c r="AP153" s="92"/>
      <c r="AQ153" s="92"/>
      <c r="AR153" s="92"/>
      <c r="AS153" s="92"/>
      <c r="AT153" s="92"/>
    </row>
    <row r="154" spans="2:46" ht="15" thickBot="1" x14ac:dyDescent="0.25">
      <c r="B154" s="37" t="str">
        <f>IF(SUM(D155:S155)=501,"Darts","")</f>
        <v/>
      </c>
      <c r="C154" s="30"/>
      <c r="D154" s="33">
        <v>501</v>
      </c>
      <c r="E154" s="34">
        <f>IF(D155="",0,D154-D155)</f>
        <v>0</v>
      </c>
      <c r="F154" s="34">
        <f t="shared" ref="F154:S154" si="80">IF(E155="",0,E154-E155)</f>
        <v>0</v>
      </c>
      <c r="G154" s="34">
        <f t="shared" si="80"/>
        <v>0</v>
      </c>
      <c r="H154" s="34">
        <f t="shared" si="80"/>
        <v>0</v>
      </c>
      <c r="I154" s="34">
        <f t="shared" si="80"/>
        <v>0</v>
      </c>
      <c r="J154" s="34">
        <f t="shared" si="80"/>
        <v>0</v>
      </c>
      <c r="K154" s="34">
        <f t="shared" si="80"/>
        <v>0</v>
      </c>
      <c r="L154" s="34">
        <f t="shared" si="80"/>
        <v>0</v>
      </c>
      <c r="M154" s="34">
        <f t="shared" si="80"/>
        <v>0</v>
      </c>
      <c r="N154" s="34">
        <f t="shared" si="80"/>
        <v>0</v>
      </c>
      <c r="O154" s="34">
        <f t="shared" si="80"/>
        <v>0</v>
      </c>
      <c r="P154" s="34">
        <f t="shared" si="80"/>
        <v>0</v>
      </c>
      <c r="Q154" s="34">
        <f t="shared" si="80"/>
        <v>0</v>
      </c>
      <c r="R154" s="34">
        <f t="shared" si="80"/>
        <v>0</v>
      </c>
      <c r="S154" s="34">
        <f t="shared" si="80"/>
        <v>0</v>
      </c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3">
        <f>IF(OR(AND(B151="L",C160&gt;0),AND(B153="L",C161&gt;0),AND(B155="L",C162&gt;0),AND(B157="L",C163&gt;0),AND(B159="L",C164&gt;0)),1,0)</f>
        <v>0</v>
      </c>
      <c r="AE154" s="93" t="s">
        <v>137</v>
      </c>
      <c r="AF154" s="92" t="s">
        <v>67</v>
      </c>
      <c r="AG154" s="92">
        <f>IF(OR(B155=1,B155=2,B155=3),B155-3,0)</f>
        <v>0</v>
      </c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2:46" ht="15" thickBot="1" x14ac:dyDescent="0.25">
      <c r="B155" s="72"/>
      <c r="C155" s="31"/>
      <c r="D155" s="73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92">
        <f>IF(OR(B155=1,B155=2,B155=3),1,0)</f>
        <v>0</v>
      </c>
      <c r="U155" s="92">
        <f>IF(UPPER(B155)="L",1,0)</f>
        <v>0</v>
      </c>
      <c r="V155" s="94">
        <f>COUNTIF($D155:$S155,"&gt;99")-($X155+W155)</f>
        <v>0</v>
      </c>
      <c r="W155" s="94">
        <f>COUNTIF($D155:$S155,"&gt;139")-$X155</f>
        <v>0</v>
      </c>
      <c r="X155" s="92">
        <f>COUNTIF($D155:$S155,"&gt;169")</f>
        <v>0</v>
      </c>
      <c r="Y155" s="92">
        <f>IF(OR(SUM(T151:T155)=3,SUM(U151:U155)=3),1,0)</f>
        <v>0</v>
      </c>
      <c r="Z155" s="92">
        <f>IF(AND(ISBLANK(B155),SUM(D155:S155)=0),1,0)</f>
        <v>1</v>
      </c>
      <c r="AA155" s="92"/>
      <c r="AB155" s="92">
        <f>IF(OR(AND(T155=1,NOT(SUM(D155:S155)=501)),AND(U155=1,SUM(D155:S155)=501)),1,0)</f>
        <v>0</v>
      </c>
      <c r="AC155" s="92">
        <f>((16-COUNTBLANK(D155:S155))*3)+AG154</f>
        <v>0</v>
      </c>
      <c r="AD155" s="93">
        <f>IF(OR(AND(ISNUMBER(B151),C160=0),AND(ISNUMBER(B153),C161=0),AND(ISNUMBER(B155),C162=0),AND(ISNUMBER(B157),C163=0),AND(ISNUMBER(B159),C164=0)),1,0)</f>
        <v>0</v>
      </c>
      <c r="AE155" s="93" t="s">
        <v>137</v>
      </c>
      <c r="AF155" s="92" t="s">
        <v>64</v>
      </c>
      <c r="AG155" s="92"/>
      <c r="AH155" s="92">
        <f>V155+2.00001*W155+3.001*X155</f>
        <v>0</v>
      </c>
      <c r="AI155" s="92">
        <f>LARGE(AH151:AH159,3)</f>
        <v>0</v>
      </c>
      <c r="AJ155" s="92">
        <f>ROUND((AI155-ROUND(AI155,0))*1000,0)</f>
        <v>0</v>
      </c>
      <c r="AK155" s="92">
        <f>(AI155-ROUND(AI155,3))*100000</f>
        <v>0</v>
      </c>
      <c r="AL155" s="92">
        <f>ROUND(AI155,0)-(2*AK155)-(3*AJ155)</f>
        <v>0</v>
      </c>
      <c r="AM155" s="92">
        <f>IF(T155=1,AC155,0)</f>
        <v>0</v>
      </c>
      <c r="AN155" s="92"/>
      <c r="AO155" s="92"/>
      <c r="AP155" s="92"/>
      <c r="AQ155" s="92"/>
      <c r="AR155" s="92"/>
      <c r="AS155" s="92"/>
      <c r="AT155" s="92"/>
    </row>
    <row r="156" spans="2:46" ht="15" thickBot="1" x14ac:dyDescent="0.25">
      <c r="B156" s="37" t="str">
        <f>IF(SUM(D157:S157)=501,"Darts","")</f>
        <v/>
      </c>
      <c r="C156" s="27" t="s">
        <v>41</v>
      </c>
      <c r="D156" s="33">
        <v>501</v>
      </c>
      <c r="E156" s="34">
        <f>IF(D157="",0,D156-D157)</f>
        <v>0</v>
      </c>
      <c r="F156" s="34">
        <f t="shared" ref="F156:S156" si="81">IF(E157="",0,E156-E157)</f>
        <v>0</v>
      </c>
      <c r="G156" s="34">
        <f t="shared" si="81"/>
        <v>0</v>
      </c>
      <c r="H156" s="34">
        <f t="shared" si="81"/>
        <v>0</v>
      </c>
      <c r="I156" s="34">
        <f t="shared" si="81"/>
        <v>0</v>
      </c>
      <c r="J156" s="34">
        <f t="shared" si="81"/>
        <v>0</v>
      </c>
      <c r="K156" s="34">
        <f t="shared" si="81"/>
        <v>0</v>
      </c>
      <c r="L156" s="34">
        <f t="shared" si="81"/>
        <v>0</v>
      </c>
      <c r="M156" s="34">
        <f t="shared" si="81"/>
        <v>0</v>
      </c>
      <c r="N156" s="34">
        <f t="shared" si="81"/>
        <v>0</v>
      </c>
      <c r="O156" s="34">
        <f t="shared" si="81"/>
        <v>0</v>
      </c>
      <c r="P156" s="34">
        <f t="shared" si="81"/>
        <v>0</v>
      </c>
      <c r="Q156" s="34">
        <f t="shared" si="81"/>
        <v>0</v>
      </c>
      <c r="R156" s="34">
        <f t="shared" si="81"/>
        <v>0</v>
      </c>
      <c r="S156" s="34">
        <f t="shared" si="81"/>
        <v>0</v>
      </c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3"/>
      <c r="AE156" s="93"/>
      <c r="AF156" s="92"/>
      <c r="AG156" s="92">
        <f>IF(OR(B157=1,B157=2,B157=3),B157-3,0)</f>
        <v>0</v>
      </c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2:46" ht="15" thickBot="1" x14ac:dyDescent="0.25">
      <c r="B157" s="72"/>
      <c r="C157" s="32" t="str">
        <f>IF(S148=1,IF(T160=3,"WON","LOST"),"")</f>
        <v/>
      </c>
      <c r="D157" s="73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92">
        <f>IF(OR(B157=1,B157=2,B157=3),1,0)</f>
        <v>0</v>
      </c>
      <c r="U157" s="92">
        <f>IF(UPPER(B157)="L",1,0)</f>
        <v>0</v>
      </c>
      <c r="V157" s="94">
        <f>COUNTIF($D157:$S157,"&gt;99")-($X157+W157)</f>
        <v>0</v>
      </c>
      <c r="W157" s="94">
        <f>COUNTIF($D157:$S157,"&gt;139")-$X157</f>
        <v>0</v>
      </c>
      <c r="X157" s="92">
        <f>COUNTIF($D157:$S157,"&gt;169")</f>
        <v>0</v>
      </c>
      <c r="Y157" s="92">
        <f>IF(AND(OR(SUM(T151:T157)=3,SUM(U151:U157)=3),Y155=0),1,0)</f>
        <v>0</v>
      </c>
      <c r="Z157" s="92">
        <f>IF(AND(ISBLANK(B157),SUM(D157:S157)=0),1,0)</f>
        <v>1</v>
      </c>
      <c r="AA157" s="92">
        <f>IF(AND(Y155=1,Y157=0,Z157=0),1,0)</f>
        <v>0</v>
      </c>
      <c r="AB157" s="92">
        <f>IF(OR(AND(T157=1,NOT(SUM(D157:S157)=501)),AND(U157=1,SUM(D157:S157)=501)),1,0)</f>
        <v>0</v>
      </c>
      <c r="AC157" s="92">
        <f>((16-COUNTBLANK(D157:S157))*3)+AG156</f>
        <v>0</v>
      </c>
      <c r="AD157" s="93"/>
      <c r="AE157" s="93"/>
      <c r="AF157" s="92"/>
      <c r="AG157" s="92"/>
      <c r="AH157" s="92">
        <f>V157+2.00001*W157+3.001*X157</f>
        <v>0</v>
      </c>
      <c r="AI157" s="92" t="s">
        <v>55</v>
      </c>
      <c r="AJ157" s="92">
        <f>SUM(AJ151:AJ155)</f>
        <v>0</v>
      </c>
      <c r="AK157" s="92">
        <f>SUM(AK151:AK155)</f>
        <v>0</v>
      </c>
      <c r="AL157" s="92">
        <f>SUM(AL151:AL155)</f>
        <v>0</v>
      </c>
      <c r="AM157" s="92">
        <f>IF(T157=1,AC157,0)</f>
        <v>0</v>
      </c>
      <c r="AN157" s="92"/>
      <c r="AO157" s="92"/>
      <c r="AP157" s="92"/>
      <c r="AQ157" s="92"/>
      <c r="AR157" s="92"/>
      <c r="AS157" s="92"/>
      <c r="AT157" s="92"/>
    </row>
    <row r="158" spans="2:46" ht="15" thickBot="1" x14ac:dyDescent="0.25">
      <c r="B158" s="37" t="str">
        <f>IF(SUM(D159:S159)=501,"Darts","")</f>
        <v/>
      </c>
      <c r="C158" s="32" t="str">
        <f>IF(OR(S148=1,A86=1),ROUND(SUM(D151:S151,D153:S153,D155:S155,D157:S157,D159:S159)/SUM(AC151:AC159),2),"")</f>
        <v/>
      </c>
      <c r="D158" s="33">
        <v>501</v>
      </c>
      <c r="E158" s="34">
        <f>IF(D159="",0,D158-D159)</f>
        <v>0</v>
      </c>
      <c r="F158" s="34">
        <f t="shared" ref="F158:S158" si="82">IF(E159="",0,E158-E159)</f>
        <v>0</v>
      </c>
      <c r="G158" s="34">
        <f t="shared" si="82"/>
        <v>0</v>
      </c>
      <c r="H158" s="34">
        <f t="shared" si="82"/>
        <v>0</v>
      </c>
      <c r="I158" s="34">
        <f t="shared" si="82"/>
        <v>0</v>
      </c>
      <c r="J158" s="34">
        <f t="shared" si="82"/>
        <v>0</v>
      </c>
      <c r="K158" s="34">
        <f t="shared" si="82"/>
        <v>0</v>
      </c>
      <c r="L158" s="34">
        <f t="shared" si="82"/>
        <v>0</v>
      </c>
      <c r="M158" s="34">
        <f t="shared" si="82"/>
        <v>0</v>
      </c>
      <c r="N158" s="34">
        <f t="shared" si="82"/>
        <v>0</v>
      </c>
      <c r="O158" s="34">
        <f t="shared" si="82"/>
        <v>0</v>
      </c>
      <c r="P158" s="34">
        <f t="shared" si="82"/>
        <v>0</v>
      </c>
      <c r="Q158" s="34">
        <f t="shared" si="82"/>
        <v>0</v>
      </c>
      <c r="R158" s="34">
        <f t="shared" si="82"/>
        <v>0</v>
      </c>
      <c r="S158" s="34">
        <f t="shared" si="82"/>
        <v>0</v>
      </c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3"/>
      <c r="AE158" s="93"/>
      <c r="AF158" s="92"/>
      <c r="AG158" s="92">
        <f>IF(OR(B159=1,B159=2,B159=3),B159-3,0)</f>
        <v>0</v>
      </c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2:46" ht="15" thickBot="1" x14ac:dyDescent="0.25">
      <c r="B159" s="72"/>
      <c r="C159" s="31"/>
      <c r="D159" s="73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92">
        <f>IF(OR(B159=1,B159=2,B159=3),1,0)</f>
        <v>0</v>
      </c>
      <c r="U159" s="92">
        <f>IF(UPPER(B159)="L",1,0)</f>
        <v>0</v>
      </c>
      <c r="V159" s="94">
        <f>COUNTIF($D159:$S159,"&gt;99")-($X159+W159)</f>
        <v>0</v>
      </c>
      <c r="W159" s="94">
        <f>COUNTIF($D159:$S159,"&gt;139")-$X159</f>
        <v>0</v>
      </c>
      <c r="X159" s="92">
        <f>COUNTIF($D159:$S159,"&gt;169")</f>
        <v>0</v>
      </c>
      <c r="Y159" s="92">
        <f>IF(AND(OR(SUM(T151:T159)=3,SUM(U151:U159)=3),Y157=0,Y155=0),1,0)</f>
        <v>0</v>
      </c>
      <c r="Z159" s="92">
        <f>IF(AND(ISBLANK(B159),SUM(D159:S159)=0),1,0)</f>
        <v>1</v>
      </c>
      <c r="AA159" s="92">
        <f>IF(AND(Y159=0,Z159=0),1,0)</f>
        <v>0</v>
      </c>
      <c r="AB159" s="92">
        <f>IF(OR(AND(T159=1,NOT(SUM(D159:S159)=501)),AND(U159=1,SUM(D159:S159)=501)),1,0)</f>
        <v>0</v>
      </c>
      <c r="AC159" s="92">
        <f>((16-COUNTBLANK(D159:S159))*3)+AG158</f>
        <v>0</v>
      </c>
      <c r="AD159" s="93"/>
      <c r="AE159" s="93"/>
      <c r="AF159" s="92"/>
      <c r="AG159" s="92"/>
      <c r="AH159" s="92">
        <f>V159+2.00001*W159+3.001*X159</f>
        <v>0</v>
      </c>
      <c r="AI159" s="92"/>
      <c r="AJ159" s="92"/>
      <c r="AK159" s="92"/>
      <c r="AL159" s="92"/>
      <c r="AM159" s="92">
        <f>IF(T159=1,AC159,0)</f>
        <v>0</v>
      </c>
      <c r="AN159" s="92"/>
      <c r="AO159" s="92"/>
      <c r="AP159" s="92"/>
      <c r="AQ159" s="92"/>
      <c r="AR159" s="92"/>
      <c r="AS159" s="92"/>
      <c r="AT159" s="92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92">
        <f>SUM(T151:T159)</f>
        <v>0</v>
      </c>
      <c r="U160" s="92">
        <f>SUM(U151:U159)</f>
        <v>0</v>
      </c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2:46" ht="15" thickBot="1" x14ac:dyDescent="0.25">
      <c r="S165" s="75">
        <f>IF(OR(T177=3,U177=3),1,0)</f>
        <v>0</v>
      </c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2:46" ht="15" thickBot="1" x14ac:dyDescent="0.25">
      <c r="C166" s="29" t="s">
        <v>73</v>
      </c>
      <c r="D166" s="28">
        <v>3</v>
      </c>
      <c r="E166" s="28">
        <v>6</v>
      </c>
      <c r="F166" s="28">
        <v>9</v>
      </c>
      <c r="G166" s="28">
        <v>12</v>
      </c>
      <c r="H166" s="28">
        <v>15</v>
      </c>
      <c r="I166" s="28">
        <v>18</v>
      </c>
      <c r="J166" s="28">
        <v>21</v>
      </c>
      <c r="K166" s="28">
        <v>24</v>
      </c>
      <c r="L166" s="28">
        <v>27</v>
      </c>
      <c r="M166" s="28">
        <v>30</v>
      </c>
      <c r="N166" s="28">
        <v>33</v>
      </c>
      <c r="O166" s="28">
        <v>36</v>
      </c>
      <c r="P166" s="28">
        <v>39</v>
      </c>
      <c r="Q166" s="28">
        <v>42</v>
      </c>
      <c r="R166" s="28">
        <v>45</v>
      </c>
      <c r="S166" s="28">
        <v>48</v>
      </c>
      <c r="T166" s="92" t="s">
        <v>42</v>
      </c>
      <c r="U166" s="92" t="s">
        <v>43</v>
      </c>
      <c r="V166" s="92" t="s">
        <v>27</v>
      </c>
      <c r="W166" s="92" t="s">
        <v>28</v>
      </c>
      <c r="X166" s="92" t="s">
        <v>29</v>
      </c>
      <c r="Y166" s="92" t="s">
        <v>46</v>
      </c>
      <c r="Z166" s="92" t="s">
        <v>47</v>
      </c>
      <c r="AA166" s="92" t="s">
        <v>48</v>
      </c>
      <c r="AB166" s="92" t="s">
        <v>50</v>
      </c>
      <c r="AC166" s="92" t="s">
        <v>51</v>
      </c>
      <c r="AD166" s="93"/>
      <c r="AE166" s="93"/>
      <c r="AF166" s="92"/>
      <c r="AG166" s="92" t="s">
        <v>52</v>
      </c>
      <c r="AH166" s="92" t="s">
        <v>53</v>
      </c>
      <c r="AI166" s="92" t="s">
        <v>54</v>
      </c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2:46" ht="15" thickBot="1" x14ac:dyDescent="0.25">
      <c r="B167" s="37" t="str">
        <f>IF(SUM(D168:S168)=501,"Darts","")</f>
        <v/>
      </c>
      <c r="C167" s="27"/>
      <c r="D167" s="33">
        <v>501</v>
      </c>
      <c r="E167" s="34">
        <f>IF(D168="",0,D167-D168)</f>
        <v>0</v>
      </c>
      <c r="F167" s="34">
        <f t="shared" ref="F167:S167" si="88">IF(E168="",0,E167-E168)</f>
        <v>0</v>
      </c>
      <c r="G167" s="34">
        <f t="shared" si="88"/>
        <v>0</v>
      </c>
      <c r="H167" s="34">
        <f t="shared" si="88"/>
        <v>0</v>
      </c>
      <c r="I167" s="34">
        <f t="shared" si="88"/>
        <v>0</v>
      </c>
      <c r="J167" s="34">
        <f t="shared" si="88"/>
        <v>0</v>
      </c>
      <c r="K167" s="34">
        <f t="shared" si="88"/>
        <v>0</v>
      </c>
      <c r="L167" s="34">
        <f t="shared" si="88"/>
        <v>0</v>
      </c>
      <c r="M167" s="34">
        <f t="shared" si="88"/>
        <v>0</v>
      </c>
      <c r="N167" s="34">
        <f t="shared" si="88"/>
        <v>0</v>
      </c>
      <c r="O167" s="34">
        <f t="shared" si="88"/>
        <v>0</v>
      </c>
      <c r="P167" s="34">
        <f t="shared" si="88"/>
        <v>0</v>
      </c>
      <c r="Q167" s="34">
        <f t="shared" si="88"/>
        <v>0</v>
      </c>
      <c r="R167" s="34">
        <f t="shared" si="88"/>
        <v>0</v>
      </c>
      <c r="S167" s="34">
        <f t="shared" si="88"/>
        <v>0</v>
      </c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>
        <f>IF(OR(OR(T177&lt;0,T177&gt;3),OR(U177&lt;0,U177&gt;3)),1,0)</f>
        <v>0</v>
      </c>
      <c r="AE167" s="93" t="s">
        <v>138</v>
      </c>
      <c r="AF167" s="92" t="s">
        <v>44</v>
      </c>
      <c r="AG167" s="92">
        <f>IF(OR(B168=1,B168=2,B168=3),B168-3,0)</f>
        <v>0</v>
      </c>
      <c r="AH167" s="92"/>
      <c r="AI167" s="92"/>
      <c r="AJ167" s="92" t="s">
        <v>29</v>
      </c>
      <c r="AK167" s="92" t="s">
        <v>28</v>
      </c>
      <c r="AL167" s="92" t="s">
        <v>27</v>
      </c>
      <c r="AM167" s="92"/>
      <c r="AN167" s="92"/>
      <c r="AO167" s="92"/>
      <c r="AP167" s="92"/>
      <c r="AQ167" s="92"/>
      <c r="AR167" s="92"/>
      <c r="AS167" s="92"/>
      <c r="AT167" s="92"/>
    </row>
    <row r="168" spans="2:46" ht="15" thickBot="1" x14ac:dyDescent="0.25">
      <c r="B168" s="72"/>
      <c r="C168" s="30" t="s">
        <v>40</v>
      </c>
      <c r="D168" s="73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92">
        <f>IF(OR(B168=1,B168=2,B168=3),1,0)</f>
        <v>0</v>
      </c>
      <c r="U168" s="92">
        <f>IF(UPPER(B168)="L",1,0)</f>
        <v>0</v>
      </c>
      <c r="V168" s="94">
        <f>COUNTIF($D168:$S168,"&gt;99")-($X168+W168)</f>
        <v>0</v>
      </c>
      <c r="W168" s="94">
        <f>COUNTIF($D168:$S168,"&gt;139")-$X168</f>
        <v>0</v>
      </c>
      <c r="X168" s="92">
        <f>COUNTIF($D168:$S168,"&gt;169")</f>
        <v>0</v>
      </c>
      <c r="Y168" s="92"/>
      <c r="Z168" s="92">
        <f>IF(AND(ISBLANK(B168),SUM(D168:S168)=0),1,0)</f>
        <v>1</v>
      </c>
      <c r="AA168" s="92"/>
      <c r="AB168" s="92">
        <f>IF(OR(AND(T168=1,NOT(SUM(D168:S168)=501)),AND(U168=1,SUM(D168:S168)=501)),1,0)</f>
        <v>0</v>
      </c>
      <c r="AC168" s="92">
        <f>((16-COUNTBLANK(D168:S168))*3)+AG167</f>
        <v>0</v>
      </c>
      <c r="AD168" s="93">
        <f>IF(SUM(AA174:AA176)&gt;0,1,0)</f>
        <v>0</v>
      </c>
      <c r="AE168" s="93" t="s">
        <v>139</v>
      </c>
      <c r="AF168" s="92" t="s">
        <v>45</v>
      </c>
      <c r="AG168" s="92"/>
      <c r="AH168" s="92">
        <f>V168+2.00001*W168+3.001*X168</f>
        <v>0</v>
      </c>
      <c r="AI168" s="92">
        <f>LARGE(AH168:AH176,1)</f>
        <v>0</v>
      </c>
      <c r="AJ168" s="92">
        <f>ROUND((AI168-ROUND(AI168,0))*1000,0)</f>
        <v>0</v>
      </c>
      <c r="AK168" s="92">
        <f>(AI168-ROUND(AI168,3))*100000</f>
        <v>0</v>
      </c>
      <c r="AL168" s="92">
        <f>ROUND(AI168,0)-(2*AK168)-(3*AJ168)</f>
        <v>0</v>
      </c>
      <c r="AM168" s="92">
        <f>IF(T168=1,AC168,0)</f>
        <v>0</v>
      </c>
      <c r="AN168" s="92"/>
      <c r="AO168" s="92"/>
      <c r="AP168" s="92"/>
      <c r="AQ168" s="92"/>
      <c r="AR168" s="92"/>
      <c r="AS168" s="92"/>
      <c r="AT168" s="92"/>
    </row>
    <row r="169" spans="2:46" ht="15" thickBot="1" x14ac:dyDescent="0.25">
      <c r="B169" s="37" t="str">
        <f>IF(SUM(D170:S170)=501,"Darts","")</f>
        <v/>
      </c>
      <c r="C169" s="30"/>
      <c r="D169" s="34">
        <v>501</v>
      </c>
      <c r="E169" s="34">
        <f>IF(D170="",0,D169-D170)</f>
        <v>0</v>
      </c>
      <c r="F169" s="34">
        <f t="shared" ref="F169:S169" si="89">IF(E170="",0,E169-E170)</f>
        <v>0</v>
      </c>
      <c r="G169" s="34">
        <f t="shared" si="89"/>
        <v>0</v>
      </c>
      <c r="H169" s="34">
        <f t="shared" si="89"/>
        <v>0</v>
      </c>
      <c r="I169" s="34">
        <f t="shared" si="89"/>
        <v>0</v>
      </c>
      <c r="J169" s="34">
        <f t="shared" si="89"/>
        <v>0</v>
      </c>
      <c r="K169" s="34">
        <f t="shared" si="89"/>
        <v>0</v>
      </c>
      <c r="L169" s="34">
        <f t="shared" si="89"/>
        <v>0</v>
      </c>
      <c r="M169" s="34">
        <f t="shared" si="89"/>
        <v>0</v>
      </c>
      <c r="N169" s="34">
        <f t="shared" si="89"/>
        <v>0</v>
      </c>
      <c r="O169" s="34">
        <f t="shared" si="89"/>
        <v>0</v>
      </c>
      <c r="P169" s="34">
        <f t="shared" si="89"/>
        <v>0</v>
      </c>
      <c r="Q169" s="34">
        <f t="shared" si="89"/>
        <v>0</v>
      </c>
      <c r="R169" s="34">
        <f t="shared" si="89"/>
        <v>0</v>
      </c>
      <c r="S169" s="34">
        <f t="shared" si="89"/>
        <v>0</v>
      </c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>
        <f>IF(SUM(AB168:AB176)&gt;0,1,0)</f>
        <v>0</v>
      </c>
      <c r="AE169" s="93" t="s">
        <v>140</v>
      </c>
      <c r="AF169" s="92" t="s">
        <v>49</v>
      </c>
      <c r="AG169" s="92">
        <f>IF(OR(B170=1,B170=2,B170=3),B170-3,0)</f>
        <v>0</v>
      </c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2:46" ht="15" thickBot="1" x14ac:dyDescent="0.25">
      <c r="B170" s="72"/>
      <c r="C170" s="35" t="str">
        <f>IF(ISBLANK(C22),"",C22)</f>
        <v xml:space="preserve"> </v>
      </c>
      <c r="D170" s="73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92">
        <f>IF(OR(B170=1,B170=2,B170=3),1,0)</f>
        <v>0</v>
      </c>
      <c r="U170" s="92">
        <f>IF(UPPER(B170)="L",1,0)</f>
        <v>0</v>
      </c>
      <c r="V170" s="94">
        <f>COUNTIF($D170:$S170,"&gt;99")-($X170+W170)</f>
        <v>0</v>
      </c>
      <c r="W170" s="94">
        <f>COUNTIF($D170:$S170,"&gt;139")-$X170</f>
        <v>0</v>
      </c>
      <c r="X170" s="92">
        <f>COUNTIF($D170:$S170,"&gt;169")</f>
        <v>0</v>
      </c>
      <c r="Y170" s="92"/>
      <c r="Z170" s="92">
        <f>IF(AND(ISBLANK(B170),SUM(D170:S170)=0),1,0)</f>
        <v>1</v>
      </c>
      <c r="AA170" s="92"/>
      <c r="AB170" s="92">
        <f>IF(OR(AND(T170=1,NOT(SUM(D170:S170)=501)),AND(U170=1,SUM(D170:S170)=501)),1,0)</f>
        <v>0</v>
      </c>
      <c r="AC170" s="92">
        <f>((16-COUNTBLANK(D170:S170))*3)+AG169</f>
        <v>0</v>
      </c>
      <c r="AD170" s="93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93" t="s">
        <v>140</v>
      </c>
      <c r="AF170" s="92" t="s">
        <v>63</v>
      </c>
      <c r="AG170" s="92"/>
      <c r="AH170" s="92">
        <f>V170+2.00001*W170+3.001*X170</f>
        <v>0</v>
      </c>
      <c r="AI170" s="92">
        <f>LARGE(AH168:AH176,2)</f>
        <v>0</v>
      </c>
      <c r="AJ170" s="92">
        <f>ROUND((AI170-ROUND(AI170,0))*1000,0)</f>
        <v>0</v>
      </c>
      <c r="AK170" s="92">
        <f>(AI170-ROUND(AI170,3))*100000</f>
        <v>0</v>
      </c>
      <c r="AL170" s="92">
        <f>ROUND(AI170,0)-(2*AK170)-(3*AJ170)</f>
        <v>0</v>
      </c>
      <c r="AM170" s="92">
        <f>IF(T170=1,AC170,0)</f>
        <v>0</v>
      </c>
      <c r="AN170" s="92"/>
      <c r="AO170" s="92"/>
      <c r="AP170" s="92"/>
      <c r="AQ170" s="92"/>
      <c r="AR170" s="92"/>
      <c r="AS170" s="92"/>
      <c r="AT170" s="92"/>
    </row>
    <row r="171" spans="2:46" ht="15" thickBot="1" x14ac:dyDescent="0.25">
      <c r="B171" s="37" t="str">
        <f>IF(SUM(D172:S172)=501,"Darts","")</f>
        <v/>
      </c>
      <c r="C171" s="30"/>
      <c r="D171" s="33">
        <v>501</v>
      </c>
      <c r="E171" s="34">
        <f>IF(D172="",0,D171-D172)</f>
        <v>0</v>
      </c>
      <c r="F171" s="34">
        <f t="shared" ref="F171:S171" si="90">IF(E172="",0,E171-E172)</f>
        <v>0</v>
      </c>
      <c r="G171" s="34">
        <f t="shared" si="90"/>
        <v>0</v>
      </c>
      <c r="H171" s="34">
        <f t="shared" si="90"/>
        <v>0</v>
      </c>
      <c r="I171" s="34">
        <f t="shared" si="90"/>
        <v>0</v>
      </c>
      <c r="J171" s="34">
        <f t="shared" si="90"/>
        <v>0</v>
      </c>
      <c r="K171" s="34">
        <f t="shared" si="90"/>
        <v>0</v>
      </c>
      <c r="L171" s="34">
        <f t="shared" si="90"/>
        <v>0</v>
      </c>
      <c r="M171" s="34">
        <f t="shared" si="90"/>
        <v>0</v>
      </c>
      <c r="N171" s="34">
        <f t="shared" si="90"/>
        <v>0</v>
      </c>
      <c r="O171" s="34">
        <f t="shared" si="90"/>
        <v>0</v>
      </c>
      <c r="P171" s="34">
        <f t="shared" si="90"/>
        <v>0</v>
      </c>
      <c r="Q171" s="34">
        <f t="shared" si="90"/>
        <v>0</v>
      </c>
      <c r="R171" s="34">
        <f t="shared" si="90"/>
        <v>0</v>
      </c>
      <c r="S171" s="34">
        <f t="shared" si="90"/>
        <v>0</v>
      </c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3">
        <f>IF(OR(AND(B168="L",C177&gt;0),AND(B170="L",C178&gt;0),AND(B172="L",C179&gt;0),AND(B174="L",C180&gt;0),AND(B176="L",C181&gt;0)),1,0)</f>
        <v>0</v>
      </c>
      <c r="AE171" s="93" t="s">
        <v>140</v>
      </c>
      <c r="AF171" s="92" t="s">
        <v>67</v>
      </c>
      <c r="AG171" s="92">
        <f>IF(OR(B172=1,B172=2,B172=3),B172-3,0)</f>
        <v>0</v>
      </c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2:46" ht="15" thickBot="1" x14ac:dyDescent="0.25">
      <c r="B172" s="72"/>
      <c r="C172" s="31"/>
      <c r="D172" s="73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92">
        <f>IF(OR(B172=1,B172=2,B172=3),1,0)</f>
        <v>0</v>
      </c>
      <c r="U172" s="92">
        <f>IF(UPPER(B172)="L",1,0)</f>
        <v>0</v>
      </c>
      <c r="V172" s="94">
        <f>COUNTIF($D172:$S172,"&gt;99")-($X172+W172)</f>
        <v>0</v>
      </c>
      <c r="W172" s="94">
        <f>COUNTIF($D172:$S172,"&gt;139")-$X172</f>
        <v>0</v>
      </c>
      <c r="X172" s="92">
        <f>COUNTIF($D172:$S172,"&gt;169")</f>
        <v>0</v>
      </c>
      <c r="Y172" s="92">
        <f>IF(OR(SUM(T168:T172)=3,SUM(U168:U172)=3),1,0)</f>
        <v>0</v>
      </c>
      <c r="Z172" s="92">
        <f>IF(AND(ISBLANK(B172),SUM(D172:S172)=0),1,0)</f>
        <v>1</v>
      </c>
      <c r="AA172" s="92"/>
      <c r="AB172" s="92">
        <f>IF(OR(AND(T172=1,NOT(SUM(D172:S172)=501)),AND(U172=1,SUM(D172:S172)=501)),1,0)</f>
        <v>0</v>
      </c>
      <c r="AC172" s="92">
        <f>((16-COUNTBLANK(D172:S172))*3)+AG171</f>
        <v>0</v>
      </c>
      <c r="AD172" s="93">
        <f>IF(OR(AND(ISNUMBER(B168),C177=0),AND(ISNUMBER(B170),C178=0),AND(ISNUMBER(B172),C179=0),AND(ISNUMBER(B174),C180=0),AND(ISNUMBER(B176),C181=0)),1,0)</f>
        <v>0</v>
      </c>
      <c r="AE172" s="93" t="s">
        <v>140</v>
      </c>
      <c r="AF172" s="92" t="s">
        <v>64</v>
      </c>
      <c r="AG172" s="92"/>
      <c r="AH172" s="92">
        <f>V172+2.00001*W172+3.001*X172</f>
        <v>0</v>
      </c>
      <c r="AI172" s="92">
        <f>LARGE(AH168:AH176,3)</f>
        <v>0</v>
      </c>
      <c r="AJ172" s="92">
        <f>ROUND((AI172-ROUND(AI172,0))*1000,0)</f>
        <v>0</v>
      </c>
      <c r="AK172" s="92">
        <f>(AI172-ROUND(AI172,3))*100000</f>
        <v>0</v>
      </c>
      <c r="AL172" s="92">
        <f>ROUND(AI172,0)-(2*AK172)-(3*AJ172)</f>
        <v>0</v>
      </c>
      <c r="AM172" s="92">
        <f>IF(T172=1,AC172,0)</f>
        <v>0</v>
      </c>
      <c r="AN172" s="92"/>
      <c r="AO172" s="92"/>
      <c r="AP172" s="92"/>
      <c r="AQ172" s="92"/>
      <c r="AR172" s="92"/>
      <c r="AS172" s="92"/>
      <c r="AT172" s="92"/>
    </row>
    <row r="173" spans="2:46" ht="15" thickBot="1" x14ac:dyDescent="0.25">
      <c r="B173" s="37" t="str">
        <f>IF(SUM(D174:S174)=501,"Darts","")</f>
        <v/>
      </c>
      <c r="C173" s="27" t="s">
        <v>41</v>
      </c>
      <c r="D173" s="33">
        <v>501</v>
      </c>
      <c r="E173" s="34">
        <f>IF(D174="",0,D173-D174)</f>
        <v>0</v>
      </c>
      <c r="F173" s="34">
        <f t="shared" ref="F173:S173" si="91">IF(E174="",0,E173-E174)</f>
        <v>0</v>
      </c>
      <c r="G173" s="34">
        <f t="shared" si="91"/>
        <v>0</v>
      </c>
      <c r="H173" s="34">
        <f t="shared" si="91"/>
        <v>0</v>
      </c>
      <c r="I173" s="34">
        <f t="shared" si="91"/>
        <v>0</v>
      </c>
      <c r="J173" s="34">
        <f t="shared" si="91"/>
        <v>0</v>
      </c>
      <c r="K173" s="34">
        <f t="shared" si="91"/>
        <v>0</v>
      </c>
      <c r="L173" s="34">
        <f t="shared" si="91"/>
        <v>0</v>
      </c>
      <c r="M173" s="34">
        <f t="shared" si="91"/>
        <v>0</v>
      </c>
      <c r="N173" s="34">
        <f t="shared" si="91"/>
        <v>0</v>
      </c>
      <c r="O173" s="34">
        <f t="shared" si="91"/>
        <v>0</v>
      </c>
      <c r="P173" s="34">
        <f t="shared" si="91"/>
        <v>0</v>
      </c>
      <c r="Q173" s="34">
        <f t="shared" si="91"/>
        <v>0</v>
      </c>
      <c r="R173" s="34">
        <f t="shared" si="91"/>
        <v>0</v>
      </c>
      <c r="S173" s="34">
        <f t="shared" si="91"/>
        <v>0</v>
      </c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3"/>
      <c r="AE173" s="93"/>
      <c r="AF173" s="92"/>
      <c r="AG173" s="92">
        <f>IF(OR(B174=1,B174=2,B174=3),B174-3,0)</f>
        <v>0</v>
      </c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2:46" ht="15" thickBot="1" x14ac:dyDescent="0.25">
      <c r="B174" s="72"/>
      <c r="C174" s="32" t="str">
        <f>IF(S165=1,IF(T177=3,"WON","LOST"),"")</f>
        <v/>
      </c>
      <c r="D174" s="73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92">
        <f>IF(OR(B174=1,B174=2,B174=3),1,0)</f>
        <v>0</v>
      </c>
      <c r="U174" s="92">
        <f>IF(UPPER(B174)="L",1,0)</f>
        <v>0</v>
      </c>
      <c r="V174" s="94">
        <f>COUNTIF($D174:$S174,"&gt;99")-($X174+W174)</f>
        <v>0</v>
      </c>
      <c r="W174" s="94">
        <f>COUNTIF($D174:$S174,"&gt;139")-$X174</f>
        <v>0</v>
      </c>
      <c r="X174" s="92">
        <f>COUNTIF($D174:$S174,"&gt;169")</f>
        <v>0</v>
      </c>
      <c r="Y174" s="92">
        <f>IF(AND(OR(SUM(T168:T174)=3,SUM(U168:U174)=3),Y172=0),1,0)</f>
        <v>0</v>
      </c>
      <c r="Z174" s="92">
        <f>IF(AND(ISBLANK(B174),SUM(D174:S174)=0),1,0)</f>
        <v>1</v>
      </c>
      <c r="AA174" s="92">
        <f>IF(AND(Y172=1,Y174=0,Z174=0),1,0)</f>
        <v>0</v>
      </c>
      <c r="AB174" s="92">
        <f>IF(OR(AND(T174=1,NOT(SUM(D174:S174)=501)),AND(U174=1,SUM(D174:S174)=501)),1,0)</f>
        <v>0</v>
      </c>
      <c r="AC174" s="92">
        <f>((16-COUNTBLANK(D174:S174))*3)+AG173</f>
        <v>0</v>
      </c>
      <c r="AD174" s="93"/>
      <c r="AE174" s="93"/>
      <c r="AF174" s="92"/>
      <c r="AG174" s="92"/>
      <c r="AH174" s="92">
        <f>V174+2.00001*W174+3.001*X174</f>
        <v>0</v>
      </c>
      <c r="AI174" s="92" t="s">
        <v>55</v>
      </c>
      <c r="AJ174" s="92">
        <f>SUM(AJ168:AJ172)</f>
        <v>0</v>
      </c>
      <c r="AK174" s="92">
        <f>SUM(AK168:AK172)</f>
        <v>0</v>
      </c>
      <c r="AL174" s="92">
        <f>SUM(AL168:AL172)</f>
        <v>0</v>
      </c>
      <c r="AM174" s="92">
        <f>IF(T174=1,AC174,0)</f>
        <v>0</v>
      </c>
      <c r="AN174" s="92"/>
      <c r="AO174" s="92"/>
      <c r="AP174" s="92"/>
      <c r="AQ174" s="92"/>
      <c r="AR174" s="92"/>
      <c r="AS174" s="92"/>
      <c r="AT174" s="92"/>
    </row>
    <row r="175" spans="2:46" ht="15" thickBot="1" x14ac:dyDescent="0.25">
      <c r="B175" s="37" t="str">
        <f>IF(SUM(D176:S176)=501,"Darts","")</f>
        <v/>
      </c>
      <c r="C175" s="32" t="str">
        <f>IF(OR(S165=1,A103=1),ROUND(SUM(D168:S168,D170:S170,D172:S172,D174:S174,D176:S176)/SUM(AC168:AC176),2),"")</f>
        <v/>
      </c>
      <c r="D175" s="33">
        <v>501</v>
      </c>
      <c r="E175" s="34">
        <f>IF(D176="",0,D175-D176)</f>
        <v>0</v>
      </c>
      <c r="F175" s="34">
        <f t="shared" ref="F175:S175" si="92">IF(E176="",0,E175-E176)</f>
        <v>0</v>
      </c>
      <c r="G175" s="34">
        <f t="shared" si="92"/>
        <v>0</v>
      </c>
      <c r="H175" s="34">
        <f t="shared" si="92"/>
        <v>0</v>
      </c>
      <c r="I175" s="34">
        <f t="shared" si="92"/>
        <v>0</v>
      </c>
      <c r="J175" s="34">
        <f t="shared" si="92"/>
        <v>0</v>
      </c>
      <c r="K175" s="34">
        <f t="shared" si="92"/>
        <v>0</v>
      </c>
      <c r="L175" s="34">
        <f t="shared" si="92"/>
        <v>0</v>
      </c>
      <c r="M175" s="34">
        <f t="shared" si="92"/>
        <v>0</v>
      </c>
      <c r="N175" s="34">
        <f t="shared" si="92"/>
        <v>0</v>
      </c>
      <c r="O175" s="34">
        <f t="shared" si="92"/>
        <v>0</v>
      </c>
      <c r="P175" s="34">
        <f t="shared" si="92"/>
        <v>0</v>
      </c>
      <c r="Q175" s="34">
        <f t="shared" si="92"/>
        <v>0</v>
      </c>
      <c r="R175" s="34">
        <f t="shared" si="92"/>
        <v>0</v>
      </c>
      <c r="S175" s="34">
        <f t="shared" si="92"/>
        <v>0</v>
      </c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3"/>
      <c r="AE175" s="93"/>
      <c r="AF175" s="92"/>
      <c r="AG175" s="92">
        <f>IF(OR(B176=1,B176=2,B176=3),B176-3,0)</f>
        <v>0</v>
      </c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2:46" ht="15" thickBot="1" x14ac:dyDescent="0.25">
      <c r="B176" s="72"/>
      <c r="C176" s="31"/>
      <c r="D176" s="73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92">
        <f>IF(OR(B176=1,B176=2,B176=3),1,0)</f>
        <v>0</v>
      </c>
      <c r="U176" s="92">
        <f>IF(UPPER(B176)="L",1,0)</f>
        <v>0</v>
      </c>
      <c r="V176" s="94">
        <f>COUNTIF($D176:$S176,"&gt;99")-($X176+W176)</f>
        <v>0</v>
      </c>
      <c r="W176" s="94">
        <f>COUNTIF($D176:$S176,"&gt;139")-$X176</f>
        <v>0</v>
      </c>
      <c r="X176" s="92">
        <f>COUNTIF($D176:$S176,"&gt;169")</f>
        <v>0</v>
      </c>
      <c r="Y176" s="92">
        <f>IF(AND(OR(SUM(T168:T176)=3,SUM(U168:U176)=3),Y174=0,Y172=0),1,0)</f>
        <v>0</v>
      </c>
      <c r="Z176" s="92">
        <f>IF(AND(ISBLANK(B176),SUM(D176:S176)=0),1,0)</f>
        <v>1</v>
      </c>
      <c r="AA176" s="92">
        <f>IF(AND(Y176=0,Z176=0),1,0)</f>
        <v>0</v>
      </c>
      <c r="AB176" s="92">
        <f>IF(OR(AND(T176=1,NOT(SUM(D176:S176)=501)),AND(U176=1,SUM(D176:S176)=501)),1,0)</f>
        <v>0</v>
      </c>
      <c r="AC176" s="92">
        <f>((16-COUNTBLANK(D176:S176))*3)+AG175</f>
        <v>0</v>
      </c>
      <c r="AD176" s="93"/>
      <c r="AE176" s="93"/>
      <c r="AF176" s="92"/>
      <c r="AG176" s="92"/>
      <c r="AH176" s="92">
        <f>V176+2.00001*W176+3.001*X176</f>
        <v>0</v>
      </c>
      <c r="AI176" s="92"/>
      <c r="AJ176" s="92"/>
      <c r="AK176" s="92"/>
      <c r="AL176" s="92"/>
      <c r="AM176" s="92">
        <f>IF(T176=1,AC176,0)</f>
        <v>0</v>
      </c>
      <c r="AN176" s="92"/>
      <c r="AO176" s="92"/>
      <c r="AP176" s="92"/>
      <c r="AQ176" s="92"/>
      <c r="AR176" s="92"/>
      <c r="AS176" s="92"/>
      <c r="AT176" s="92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92">
        <f>SUM(T168:T176)</f>
        <v>0</v>
      </c>
      <c r="U177" s="92">
        <f>SUM(U168:U176)</f>
        <v>0</v>
      </c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2:46" ht="15" thickBot="1" x14ac:dyDescent="0.25">
      <c r="S182" s="75">
        <f>IF(OR(T194=3,U194=3),1,0)</f>
        <v>0</v>
      </c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2:46" ht="15" thickBot="1" x14ac:dyDescent="0.25">
      <c r="C183" s="29" t="s">
        <v>74</v>
      </c>
      <c r="D183" s="28">
        <v>3</v>
      </c>
      <c r="E183" s="28">
        <v>6</v>
      </c>
      <c r="F183" s="28">
        <v>9</v>
      </c>
      <c r="G183" s="28">
        <v>12</v>
      </c>
      <c r="H183" s="28">
        <v>15</v>
      </c>
      <c r="I183" s="28">
        <v>18</v>
      </c>
      <c r="J183" s="28">
        <v>21</v>
      </c>
      <c r="K183" s="28">
        <v>24</v>
      </c>
      <c r="L183" s="28">
        <v>27</v>
      </c>
      <c r="M183" s="28">
        <v>30</v>
      </c>
      <c r="N183" s="28">
        <v>33</v>
      </c>
      <c r="O183" s="28">
        <v>36</v>
      </c>
      <c r="P183" s="28">
        <v>39</v>
      </c>
      <c r="Q183" s="28">
        <v>42</v>
      </c>
      <c r="R183" s="28">
        <v>45</v>
      </c>
      <c r="S183" s="28">
        <v>48</v>
      </c>
      <c r="T183" s="92" t="s">
        <v>42</v>
      </c>
      <c r="U183" s="92" t="s">
        <v>43</v>
      </c>
      <c r="V183" s="92" t="s">
        <v>27</v>
      </c>
      <c r="W183" s="92" t="s">
        <v>28</v>
      </c>
      <c r="X183" s="92" t="s">
        <v>29</v>
      </c>
      <c r="Y183" s="92" t="s">
        <v>46</v>
      </c>
      <c r="Z183" s="92" t="s">
        <v>47</v>
      </c>
      <c r="AA183" s="92" t="s">
        <v>48</v>
      </c>
      <c r="AB183" s="92" t="s">
        <v>50</v>
      </c>
      <c r="AC183" s="92" t="s">
        <v>51</v>
      </c>
      <c r="AD183" s="93"/>
      <c r="AE183" s="93"/>
      <c r="AF183" s="92"/>
      <c r="AG183" s="92" t="s">
        <v>52</v>
      </c>
      <c r="AH183" s="92" t="s">
        <v>53</v>
      </c>
      <c r="AI183" s="92" t="s">
        <v>54</v>
      </c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2:46" ht="15" thickBot="1" x14ac:dyDescent="0.25">
      <c r="B184" s="37" t="str">
        <f>IF(SUM(D185:S185)=501,"Darts","")</f>
        <v/>
      </c>
      <c r="C184" s="27"/>
      <c r="D184" s="33">
        <v>501</v>
      </c>
      <c r="E184" s="34">
        <f>IF(D185="",0,D184-D185)</f>
        <v>0</v>
      </c>
      <c r="F184" s="34">
        <f t="shared" ref="F184:S184" si="98">IF(E185="",0,E184-E185)</f>
        <v>0</v>
      </c>
      <c r="G184" s="34">
        <f t="shared" si="98"/>
        <v>0</v>
      </c>
      <c r="H184" s="34">
        <f t="shared" si="98"/>
        <v>0</v>
      </c>
      <c r="I184" s="34">
        <f t="shared" si="98"/>
        <v>0</v>
      </c>
      <c r="J184" s="34">
        <f t="shared" si="98"/>
        <v>0</v>
      </c>
      <c r="K184" s="34">
        <f t="shared" si="98"/>
        <v>0</v>
      </c>
      <c r="L184" s="34">
        <f t="shared" si="98"/>
        <v>0</v>
      </c>
      <c r="M184" s="34">
        <f t="shared" si="98"/>
        <v>0</v>
      </c>
      <c r="N184" s="34">
        <f t="shared" si="98"/>
        <v>0</v>
      </c>
      <c r="O184" s="34">
        <f t="shared" si="98"/>
        <v>0</v>
      </c>
      <c r="P184" s="34">
        <f t="shared" si="98"/>
        <v>0</v>
      </c>
      <c r="Q184" s="34">
        <f t="shared" si="98"/>
        <v>0</v>
      </c>
      <c r="R184" s="34">
        <f t="shared" si="98"/>
        <v>0</v>
      </c>
      <c r="S184" s="34">
        <f t="shared" si="98"/>
        <v>0</v>
      </c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3">
        <f>IF(OR(OR(T194&lt;0,T194&gt;3),OR(U194&lt;0,U194&gt;3)),1,0)</f>
        <v>0</v>
      </c>
      <c r="AE184" s="93" t="s">
        <v>141</v>
      </c>
      <c r="AF184" s="92" t="s">
        <v>44</v>
      </c>
      <c r="AG184" s="92">
        <f>IF(OR(B185=1,B185=2,B185=3),B185-3,0)</f>
        <v>0</v>
      </c>
      <c r="AH184" s="92"/>
      <c r="AI184" s="92"/>
      <c r="AJ184" s="92" t="s">
        <v>29</v>
      </c>
      <c r="AK184" s="92" t="s">
        <v>28</v>
      </c>
      <c r="AL184" s="92" t="s">
        <v>27</v>
      </c>
      <c r="AM184" s="92"/>
      <c r="AN184" s="92"/>
      <c r="AO184" s="92"/>
      <c r="AP184" s="92"/>
      <c r="AQ184" s="92"/>
      <c r="AR184" s="92"/>
      <c r="AS184" s="92"/>
      <c r="AT184" s="92"/>
    </row>
    <row r="185" spans="2:46" ht="15" thickBot="1" x14ac:dyDescent="0.25">
      <c r="B185" s="72"/>
      <c r="C185" s="30" t="s">
        <v>40</v>
      </c>
      <c r="D185" s="73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92">
        <f>IF(OR(B185=1,B185=2,B185=3),1,0)</f>
        <v>0</v>
      </c>
      <c r="U185" s="92">
        <f>IF(UPPER(B185)="L",1,0)</f>
        <v>0</v>
      </c>
      <c r="V185" s="94">
        <f>COUNTIF($D185:$S185,"&gt;99")-($X185+W185)</f>
        <v>0</v>
      </c>
      <c r="W185" s="94">
        <f>COUNTIF($D185:$S185,"&gt;139")-$X185</f>
        <v>0</v>
      </c>
      <c r="X185" s="92">
        <f>COUNTIF($D185:$S185,"&gt;169")</f>
        <v>0</v>
      </c>
      <c r="Y185" s="92"/>
      <c r="Z185" s="92">
        <f>IF(AND(ISBLANK(B185),SUM(D185:S185)=0),1,0)</f>
        <v>1</v>
      </c>
      <c r="AA185" s="92"/>
      <c r="AB185" s="92">
        <f>IF(OR(AND(T185=1,NOT(SUM(D185:S185)=501)),AND(U185=1,SUM(D185:S185)=501)),1,0)</f>
        <v>0</v>
      </c>
      <c r="AC185" s="92">
        <f>((16-COUNTBLANK(D185:S185))*3)+AG184</f>
        <v>0</v>
      </c>
      <c r="AD185" s="93">
        <f>IF(SUM(AA191:AA193)&gt;0,1,0)</f>
        <v>0</v>
      </c>
      <c r="AE185" s="93" t="s">
        <v>142</v>
      </c>
      <c r="AF185" s="92" t="s">
        <v>45</v>
      </c>
      <c r="AG185" s="92"/>
      <c r="AH185" s="92">
        <f>V185+2.00001*W185+3.001*X185</f>
        <v>0</v>
      </c>
      <c r="AI185" s="92">
        <f>LARGE(AH185:AH193,1)</f>
        <v>0</v>
      </c>
      <c r="AJ185" s="92">
        <f>ROUND((AI185-ROUND(AI185,0))*1000,0)</f>
        <v>0</v>
      </c>
      <c r="AK185" s="92">
        <f>(AI185-ROUND(AI185,3))*100000</f>
        <v>0</v>
      </c>
      <c r="AL185" s="92">
        <f>ROUND(AI185,0)-(2*AK185)-(3*AJ185)</f>
        <v>0</v>
      </c>
      <c r="AM185" s="92">
        <f>IF(T185=1,AC185,0)</f>
        <v>0</v>
      </c>
      <c r="AN185" s="92"/>
      <c r="AO185" s="92"/>
      <c r="AP185" s="92"/>
      <c r="AQ185" s="92"/>
      <c r="AR185" s="92"/>
      <c r="AS185" s="92"/>
      <c r="AT185" s="92"/>
    </row>
    <row r="186" spans="2:46" ht="15" thickBot="1" x14ac:dyDescent="0.25">
      <c r="B186" s="37" t="str">
        <f>IF(SUM(D187:S187)=501,"Darts","")</f>
        <v/>
      </c>
      <c r="C186" s="30"/>
      <c r="D186" s="34">
        <v>501</v>
      </c>
      <c r="E186" s="34">
        <f>IF(D187="",0,D186-D187)</f>
        <v>0</v>
      </c>
      <c r="F186" s="34">
        <f t="shared" ref="F186:S186" si="99">IF(E187="",0,E186-E187)</f>
        <v>0</v>
      </c>
      <c r="G186" s="34">
        <f t="shared" si="99"/>
        <v>0</v>
      </c>
      <c r="H186" s="34">
        <f t="shared" si="99"/>
        <v>0</v>
      </c>
      <c r="I186" s="34">
        <f t="shared" si="99"/>
        <v>0</v>
      </c>
      <c r="J186" s="34">
        <f t="shared" si="99"/>
        <v>0</v>
      </c>
      <c r="K186" s="34">
        <f t="shared" si="99"/>
        <v>0</v>
      </c>
      <c r="L186" s="34">
        <f t="shared" si="99"/>
        <v>0</v>
      </c>
      <c r="M186" s="34">
        <f t="shared" si="99"/>
        <v>0</v>
      </c>
      <c r="N186" s="34">
        <f t="shared" si="99"/>
        <v>0</v>
      </c>
      <c r="O186" s="34">
        <f t="shared" si="99"/>
        <v>0</v>
      </c>
      <c r="P186" s="34">
        <f t="shared" si="99"/>
        <v>0</v>
      </c>
      <c r="Q186" s="34">
        <f t="shared" si="99"/>
        <v>0</v>
      </c>
      <c r="R186" s="34">
        <f t="shared" si="99"/>
        <v>0</v>
      </c>
      <c r="S186" s="34">
        <f t="shared" si="99"/>
        <v>0</v>
      </c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3">
        <f>IF(SUM(AB185:AB193)&gt;0,1,0)</f>
        <v>0</v>
      </c>
      <c r="AE186" s="93" t="s">
        <v>143</v>
      </c>
      <c r="AF186" s="92" t="s">
        <v>49</v>
      </c>
      <c r="AG186" s="92">
        <f>IF(OR(B187=1,B187=2,B187=3),B187-3,0)</f>
        <v>0</v>
      </c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2:46" ht="15" thickBot="1" x14ac:dyDescent="0.25">
      <c r="B187" s="72"/>
      <c r="C187" s="35" t="str">
        <f>IF(ISBLANK(C23),"",C23)</f>
        <v xml:space="preserve"> </v>
      </c>
      <c r="D187" s="73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92">
        <f>IF(OR(B187=1,B187=2,B187=3),1,0)</f>
        <v>0</v>
      </c>
      <c r="U187" s="92">
        <f>IF(UPPER(B187)="L",1,0)</f>
        <v>0</v>
      </c>
      <c r="V187" s="94">
        <f>COUNTIF($D187:$S187,"&gt;99")-($X187+W187)</f>
        <v>0</v>
      </c>
      <c r="W187" s="94">
        <f>COUNTIF($D187:$S187,"&gt;139")-$X187</f>
        <v>0</v>
      </c>
      <c r="X187" s="92">
        <f>COUNTIF($D187:$S187,"&gt;169")</f>
        <v>0</v>
      </c>
      <c r="Y187" s="92"/>
      <c r="Z187" s="92">
        <f>IF(AND(ISBLANK(B187),SUM(D187:S187)=0),1,0)</f>
        <v>1</v>
      </c>
      <c r="AA187" s="92"/>
      <c r="AB187" s="92">
        <f>IF(OR(AND(T187=1,NOT(SUM(D187:S187)=501)),AND(U187=1,SUM(D187:S187)=501)),1,0)</f>
        <v>0</v>
      </c>
      <c r="AC187" s="92">
        <f>((16-COUNTBLANK(D187:S187))*3)+AG186</f>
        <v>0</v>
      </c>
      <c r="AD187" s="93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93" t="s">
        <v>143</v>
      </c>
      <c r="AF187" s="92" t="s">
        <v>63</v>
      </c>
      <c r="AG187" s="92"/>
      <c r="AH187" s="92">
        <f>V187+2.00001*W187+3.001*X187</f>
        <v>0</v>
      </c>
      <c r="AI187" s="92">
        <f>LARGE(AH185:AH193,2)</f>
        <v>0</v>
      </c>
      <c r="AJ187" s="92">
        <f>ROUND((AI187-ROUND(AI187,0))*1000,0)</f>
        <v>0</v>
      </c>
      <c r="AK187" s="92">
        <f>(AI187-ROUND(AI187,3))*100000</f>
        <v>0</v>
      </c>
      <c r="AL187" s="92">
        <f>ROUND(AI187,0)-(2*AK187)-(3*AJ187)</f>
        <v>0</v>
      </c>
      <c r="AM187" s="92">
        <f>IF(T187=1,AC187,0)</f>
        <v>0</v>
      </c>
      <c r="AN187" s="92"/>
      <c r="AO187" s="92"/>
      <c r="AP187" s="92"/>
      <c r="AQ187" s="92"/>
      <c r="AR187" s="92"/>
      <c r="AS187" s="92"/>
      <c r="AT187" s="92"/>
    </row>
    <row r="188" spans="2:46" ht="15" thickBot="1" x14ac:dyDescent="0.25">
      <c r="B188" s="37" t="str">
        <f>IF(SUM(D189:S189)=501,"Darts","")</f>
        <v/>
      </c>
      <c r="C188" s="30"/>
      <c r="D188" s="33">
        <v>501</v>
      </c>
      <c r="E188" s="34">
        <f>IF(D189="",0,D188-D189)</f>
        <v>0</v>
      </c>
      <c r="F188" s="34">
        <f t="shared" ref="F188:S188" si="100">IF(E189="",0,E188-E189)</f>
        <v>0</v>
      </c>
      <c r="G188" s="34">
        <f t="shared" si="100"/>
        <v>0</v>
      </c>
      <c r="H188" s="34">
        <f t="shared" si="100"/>
        <v>0</v>
      </c>
      <c r="I188" s="34">
        <f t="shared" si="100"/>
        <v>0</v>
      </c>
      <c r="J188" s="34">
        <f t="shared" si="100"/>
        <v>0</v>
      </c>
      <c r="K188" s="34">
        <f t="shared" si="100"/>
        <v>0</v>
      </c>
      <c r="L188" s="34">
        <f t="shared" si="100"/>
        <v>0</v>
      </c>
      <c r="M188" s="34">
        <f t="shared" si="100"/>
        <v>0</v>
      </c>
      <c r="N188" s="34">
        <f t="shared" si="100"/>
        <v>0</v>
      </c>
      <c r="O188" s="34">
        <f t="shared" si="100"/>
        <v>0</v>
      </c>
      <c r="P188" s="34">
        <f t="shared" si="100"/>
        <v>0</v>
      </c>
      <c r="Q188" s="34">
        <f t="shared" si="100"/>
        <v>0</v>
      </c>
      <c r="R188" s="34">
        <f t="shared" si="100"/>
        <v>0</v>
      </c>
      <c r="S188" s="34">
        <f t="shared" si="100"/>
        <v>0</v>
      </c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>
        <f>IF(OR(AND(B185="L",C194&gt;0),AND(B187="L",C195&gt;0),AND(B189="L",C196&gt;0),AND(B191="L",C197&gt;0),AND(B193="L",C198&gt;0)),1,0)</f>
        <v>0</v>
      </c>
      <c r="AE188" s="93" t="s">
        <v>143</v>
      </c>
      <c r="AF188" s="92" t="s">
        <v>67</v>
      </c>
      <c r="AG188" s="92">
        <f>IF(OR(B189=1,B189=2,B189=3),B189-3,0)</f>
        <v>0</v>
      </c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2:46" ht="15" thickBot="1" x14ac:dyDescent="0.25">
      <c r="B189" s="72"/>
      <c r="C189" s="31"/>
      <c r="D189" s="7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92">
        <f>IF(OR(B189=1,B189=2,B189=3),1,0)</f>
        <v>0</v>
      </c>
      <c r="U189" s="92">
        <f>IF(UPPER(B189)="L",1,0)</f>
        <v>0</v>
      </c>
      <c r="V189" s="94">
        <f>COUNTIF($D189:$S189,"&gt;99")-($X189+W189)</f>
        <v>0</v>
      </c>
      <c r="W189" s="94">
        <f>COUNTIF($D189:$S189,"&gt;139")-$X189</f>
        <v>0</v>
      </c>
      <c r="X189" s="92">
        <f>COUNTIF($D189:$S189,"&gt;169")</f>
        <v>0</v>
      </c>
      <c r="Y189" s="92">
        <f>IF(OR(SUM(T185:T189)=3,SUM(U185:U189)=3),1,0)</f>
        <v>0</v>
      </c>
      <c r="Z189" s="92">
        <f>IF(AND(ISBLANK(B189),SUM(D189:S189)=0),1,0)</f>
        <v>1</v>
      </c>
      <c r="AA189" s="92"/>
      <c r="AB189" s="92">
        <f>IF(OR(AND(T189=1,NOT(SUM(D189:S189)=501)),AND(U189=1,SUM(D189:S189)=501)),1,0)</f>
        <v>0</v>
      </c>
      <c r="AC189" s="92">
        <f>((16-COUNTBLANK(D189:S189))*3)+AG188</f>
        <v>0</v>
      </c>
      <c r="AD189" s="93">
        <f>IF(OR(AND(ISNUMBER(B185),C194=0),AND(ISNUMBER(B187),C195=0),AND(ISNUMBER(B189),C196=0),AND(ISNUMBER(B191),C197=0),AND(ISNUMBER(B193),C198=0)),1,0)</f>
        <v>0</v>
      </c>
      <c r="AE189" s="93" t="s">
        <v>143</v>
      </c>
      <c r="AF189" s="92" t="s">
        <v>64</v>
      </c>
      <c r="AG189" s="92"/>
      <c r="AH189" s="92">
        <f>V189+2.00001*W189+3.001*X189</f>
        <v>0</v>
      </c>
      <c r="AI189" s="92">
        <f>LARGE(AH185:AH193,3)</f>
        <v>0</v>
      </c>
      <c r="AJ189" s="92">
        <f>ROUND((AI189-ROUND(AI189,0))*1000,0)</f>
        <v>0</v>
      </c>
      <c r="AK189" s="92">
        <f>(AI189-ROUND(AI189,3))*100000</f>
        <v>0</v>
      </c>
      <c r="AL189" s="92">
        <f>ROUND(AI189,0)-(2*AK189)-(3*AJ189)</f>
        <v>0</v>
      </c>
      <c r="AM189" s="92">
        <f>IF(T189=1,AC189,0)</f>
        <v>0</v>
      </c>
      <c r="AN189" s="92"/>
      <c r="AO189" s="92"/>
      <c r="AP189" s="92"/>
      <c r="AQ189" s="92"/>
      <c r="AR189" s="92"/>
      <c r="AS189" s="92"/>
      <c r="AT189" s="92"/>
    </row>
    <row r="190" spans="2:46" ht="15" thickBot="1" x14ac:dyDescent="0.25">
      <c r="B190" s="37" t="str">
        <f>IF(SUM(D191:S191)=501,"Darts","")</f>
        <v/>
      </c>
      <c r="C190" s="27" t="s">
        <v>41</v>
      </c>
      <c r="D190" s="33">
        <v>501</v>
      </c>
      <c r="E190" s="34">
        <f>IF(D191="",0,D190-D191)</f>
        <v>0</v>
      </c>
      <c r="F190" s="34">
        <f t="shared" ref="F190:S190" si="101">IF(E191="",0,E190-E191)</f>
        <v>0</v>
      </c>
      <c r="G190" s="34">
        <f t="shared" si="101"/>
        <v>0</v>
      </c>
      <c r="H190" s="34">
        <f t="shared" si="101"/>
        <v>0</v>
      </c>
      <c r="I190" s="34">
        <f t="shared" si="101"/>
        <v>0</v>
      </c>
      <c r="J190" s="34">
        <f t="shared" si="101"/>
        <v>0</v>
      </c>
      <c r="K190" s="34">
        <f t="shared" si="101"/>
        <v>0</v>
      </c>
      <c r="L190" s="34">
        <f t="shared" si="101"/>
        <v>0</v>
      </c>
      <c r="M190" s="34">
        <f t="shared" si="101"/>
        <v>0</v>
      </c>
      <c r="N190" s="34">
        <f t="shared" si="101"/>
        <v>0</v>
      </c>
      <c r="O190" s="34">
        <f t="shared" si="101"/>
        <v>0</v>
      </c>
      <c r="P190" s="34">
        <f t="shared" si="101"/>
        <v>0</v>
      </c>
      <c r="Q190" s="34">
        <f t="shared" si="101"/>
        <v>0</v>
      </c>
      <c r="R190" s="34">
        <f t="shared" si="101"/>
        <v>0</v>
      </c>
      <c r="S190" s="34">
        <f t="shared" si="101"/>
        <v>0</v>
      </c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3">
        <f>IF(($I$9+$I$11)=12,0,1)</f>
        <v>1</v>
      </c>
      <c r="AE190" s="93" t="s">
        <v>105</v>
      </c>
      <c r="AF190" s="92" t="s">
        <v>81</v>
      </c>
      <c r="AG190" s="92">
        <f>IF(OR(B191=1,B191=2,B191=3),B191-3,0)</f>
        <v>0</v>
      </c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2:46" ht="15" thickBot="1" x14ac:dyDescent="0.25">
      <c r="B191" s="72"/>
      <c r="C191" s="32" t="str">
        <f>IF(S182=1,IF(T194=3,"WON","LOST"),"")</f>
        <v/>
      </c>
      <c r="D191" s="73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92">
        <f>IF(OR(B191=1,B191=2,B191=3),1,0)</f>
        <v>0</v>
      </c>
      <c r="U191" s="92">
        <f>IF(UPPER(B191)="L",1,0)</f>
        <v>0</v>
      </c>
      <c r="V191" s="94">
        <f>COUNTIF($D191:$S191,"&gt;99")-($X191+W191)</f>
        <v>0</v>
      </c>
      <c r="W191" s="94">
        <f>COUNTIF($D191:$S191,"&gt;139")-$X191</f>
        <v>0</v>
      </c>
      <c r="X191" s="92">
        <f>COUNTIF($D191:$S191,"&gt;169")</f>
        <v>0</v>
      </c>
      <c r="Y191" s="92">
        <f>IF(AND(OR(SUM(T185:T191)=3,SUM(U185:U191)=3),Y189=0),1,0)</f>
        <v>0</v>
      </c>
      <c r="Z191" s="92">
        <f>IF(AND(ISBLANK(B191),SUM(D191:S191)=0),1,0)</f>
        <v>1</v>
      </c>
      <c r="AA191" s="92">
        <f>IF(AND(Y189=1,Y191=0,Z191=0),1,0)</f>
        <v>0</v>
      </c>
      <c r="AB191" s="92">
        <f>IF(OR(AND(T191=1,NOT(SUM(D191:S191)=501)),AND(U191=1,SUM(D191:S191)=501)),1,0)</f>
        <v>0</v>
      </c>
      <c r="AC191" s="92">
        <f>((16-COUNTBLANK(D191:S191))*3)+AG190</f>
        <v>0</v>
      </c>
      <c r="AD191" s="93"/>
      <c r="AE191" s="93"/>
      <c r="AF191" s="92"/>
      <c r="AG191" s="92"/>
      <c r="AH191" s="92">
        <f>V191+2.00001*W191+3.001*X191</f>
        <v>0</v>
      </c>
      <c r="AI191" s="92" t="s">
        <v>55</v>
      </c>
      <c r="AJ191" s="92">
        <f>SUM(AJ185:AJ189)</f>
        <v>0</v>
      </c>
      <c r="AK191" s="92">
        <f>SUM(AK185:AK189)</f>
        <v>0</v>
      </c>
      <c r="AL191" s="92">
        <f>SUM(AL185:AL189)</f>
        <v>0</v>
      </c>
      <c r="AM191" s="92">
        <f>IF(T191=1,AC191,0)</f>
        <v>0</v>
      </c>
      <c r="AN191" s="92"/>
      <c r="AO191" s="92"/>
      <c r="AP191" s="92"/>
      <c r="AQ191" s="92"/>
      <c r="AR191" s="92"/>
      <c r="AS191" s="92"/>
      <c r="AT191" s="92"/>
    </row>
    <row r="192" spans="2:46" ht="15" thickBot="1" x14ac:dyDescent="0.25">
      <c r="B192" s="37" t="str">
        <f>IF(SUM(D193:S193)=501,"Darts","")</f>
        <v/>
      </c>
      <c r="C192" s="32" t="str">
        <f>IF(OR(S182=1,A120=1),ROUND(SUM(D185:S185,D187:S187,D189:S189,D191:S191,D193:S193)/SUM(AC185:AC193),2),"")</f>
        <v/>
      </c>
      <c r="D192" s="33">
        <v>501</v>
      </c>
      <c r="E192" s="34">
        <f>IF(D193="",0,D192-D193)</f>
        <v>0</v>
      </c>
      <c r="F192" s="34">
        <f t="shared" ref="F192:S192" si="102">IF(E193="",0,E192-E193)</f>
        <v>0</v>
      </c>
      <c r="G192" s="34">
        <f t="shared" si="102"/>
        <v>0</v>
      </c>
      <c r="H192" s="34">
        <f t="shared" si="102"/>
        <v>0</v>
      </c>
      <c r="I192" s="34">
        <f t="shared" si="102"/>
        <v>0</v>
      </c>
      <c r="J192" s="34">
        <f t="shared" si="102"/>
        <v>0</v>
      </c>
      <c r="K192" s="34">
        <f t="shared" si="102"/>
        <v>0</v>
      </c>
      <c r="L192" s="34">
        <f t="shared" si="102"/>
        <v>0</v>
      </c>
      <c r="M192" s="34">
        <f t="shared" si="102"/>
        <v>0</v>
      </c>
      <c r="N192" s="34">
        <f t="shared" si="102"/>
        <v>0</v>
      </c>
      <c r="O192" s="34">
        <f t="shared" si="102"/>
        <v>0</v>
      </c>
      <c r="P192" s="34">
        <f t="shared" si="102"/>
        <v>0</v>
      </c>
      <c r="Q192" s="34">
        <f t="shared" si="102"/>
        <v>0</v>
      </c>
      <c r="R192" s="34">
        <f t="shared" si="102"/>
        <v>0</v>
      </c>
      <c r="S192" s="34">
        <f t="shared" si="102"/>
        <v>0</v>
      </c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3"/>
      <c r="AE192" s="93"/>
      <c r="AF192" s="92"/>
      <c r="AG192" s="92">
        <f>IF(OR(B193=1,B193=2,B193=3),B193-3,0)</f>
        <v>0</v>
      </c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2:46" ht="15" thickBot="1" x14ac:dyDescent="0.25">
      <c r="B193" s="72"/>
      <c r="C193" s="31"/>
      <c r="D193" s="7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92">
        <f>IF(OR(B193=1,B193=2,B193=3),1,0)</f>
        <v>0</v>
      </c>
      <c r="U193" s="92">
        <f>IF(UPPER(B193)="L",1,0)</f>
        <v>0</v>
      </c>
      <c r="V193" s="94">
        <f>COUNTIF($D193:$S193,"&gt;99")-($X193+W193)</f>
        <v>0</v>
      </c>
      <c r="W193" s="94">
        <f>COUNTIF($D193:$S193,"&gt;139")-$X193</f>
        <v>0</v>
      </c>
      <c r="X193" s="92">
        <f>COUNTIF($D193:$S193,"&gt;169")</f>
        <v>0</v>
      </c>
      <c r="Y193" s="92">
        <f>IF(AND(OR(SUM(T185:T193)=3,SUM(U185:U193)=3),Y191=0,Y189=0),1,0)</f>
        <v>0</v>
      </c>
      <c r="Z193" s="92">
        <f>IF(AND(ISBLANK(B193),SUM(D193:S193)=0),1,0)</f>
        <v>1</v>
      </c>
      <c r="AA193" s="92">
        <f>IF(AND(Y193=0,Z193=0),1,0)</f>
        <v>0</v>
      </c>
      <c r="AB193" s="92">
        <f>IF(OR(AND(T193=1,NOT(SUM(D193:S193)=501)),AND(U193=1,SUM(D193:S193)=501)),1,0)</f>
        <v>0</v>
      </c>
      <c r="AC193" s="92">
        <f>((16-COUNTBLANK(D193:S193))*3)+AG192</f>
        <v>0</v>
      </c>
      <c r="AD193" s="93"/>
      <c r="AE193" s="93"/>
      <c r="AF193" s="92"/>
      <c r="AG193" s="92"/>
      <c r="AH193" s="92">
        <f>V193+2.00001*W193+3.001*X193</f>
        <v>0</v>
      </c>
      <c r="AI193" s="92"/>
      <c r="AJ193" s="92"/>
      <c r="AK193" s="92"/>
      <c r="AL193" s="92"/>
      <c r="AM193" s="92">
        <f>IF(T193=1,AC193,0)</f>
        <v>0</v>
      </c>
      <c r="AN193" s="92"/>
      <c r="AO193" s="92"/>
      <c r="AP193" s="92"/>
      <c r="AQ193" s="92"/>
      <c r="AR193" s="92"/>
      <c r="AS193" s="92"/>
      <c r="AT193" s="92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</sheetData>
  <sheetProtection algorithmName="SHA-512" hashValue="m7/z0NoiuJTz2+uhpUIJWzAc+8asW716omh8bdMYyqcEBdCfxDxNIqhQhwBuN2gK5jT9sJmdOD624S/UDpz9BA==" saltValue="onY0sLR4YFRjLESspACMPA==" spinCount="100000"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>
      <formula1>0</formula1>
      <formula2>180</formula2>
    </dataValidation>
    <dataValidation type="list" allowBlank="1" showInputMessage="1" showErrorMessage="1" sqref="C16:C23 C33 C35 C40 C42 C47 C49 C54 C56 C24 C25">
      <formula1>MyNames</formula1>
    </dataValidation>
  </dataValidations>
  <hyperlinks>
    <hyperlink ref="M10" r:id="rId1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verticalDpi="0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1495425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showGridLines="0" topLeftCell="A3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5" customWidth="1"/>
  </cols>
  <sheetData>
    <row r="2" spans="2:17" ht="27.75" x14ac:dyDescent="0.25">
      <c r="B2" s="109" t="s">
        <v>162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4" spans="2:17" x14ac:dyDescent="0.25">
      <c r="B4" t="s">
        <v>163</v>
      </c>
    </row>
    <row r="6" spans="2:17" x14ac:dyDescent="0.25">
      <c r="B6" t="s">
        <v>164</v>
      </c>
    </row>
    <row r="7" spans="2:17" x14ac:dyDescent="0.25">
      <c r="B7" t="s">
        <v>165</v>
      </c>
    </row>
    <row r="8" spans="2:17" ht="15.75" thickBot="1" x14ac:dyDescent="0.3"/>
    <row r="9" spans="2:17" x14ac:dyDescent="0.25">
      <c r="B9" s="110"/>
      <c r="C9" s="111" t="s">
        <v>166</v>
      </c>
    </row>
    <row r="10" spans="2:17" hidden="1" x14ac:dyDescent="0.25">
      <c r="B10" s="116"/>
      <c r="C10" s="117" t="s">
        <v>167</v>
      </c>
    </row>
    <row r="11" spans="2:17" x14ac:dyDescent="0.25">
      <c r="B11" s="112">
        <v>1</v>
      </c>
      <c r="C11" s="114"/>
    </row>
    <row r="12" spans="2:17" x14ac:dyDescent="0.25">
      <c r="B12" s="112">
        <v>2</v>
      </c>
      <c r="C12" s="114"/>
    </row>
    <row r="13" spans="2:17" x14ac:dyDescent="0.25">
      <c r="B13" s="112">
        <v>3</v>
      </c>
      <c r="C13" s="114"/>
    </row>
    <row r="14" spans="2:17" x14ac:dyDescent="0.25">
      <c r="B14" s="112">
        <v>4</v>
      </c>
      <c r="C14" s="114"/>
    </row>
    <row r="15" spans="2:17" x14ac:dyDescent="0.25">
      <c r="B15" s="112">
        <v>5</v>
      </c>
      <c r="C15" s="114"/>
    </row>
    <row r="16" spans="2:17" x14ac:dyDescent="0.25">
      <c r="B16" s="112">
        <v>6</v>
      </c>
      <c r="C16" s="114"/>
    </row>
    <row r="17" spans="2:3" x14ac:dyDescent="0.25">
      <c r="B17" s="112">
        <v>7</v>
      </c>
      <c r="C17" s="114"/>
    </row>
    <row r="18" spans="2:3" x14ac:dyDescent="0.25">
      <c r="B18" s="112">
        <v>8</v>
      </c>
      <c r="C18" s="114"/>
    </row>
    <row r="19" spans="2:3" x14ac:dyDescent="0.25">
      <c r="B19" s="112">
        <v>9</v>
      </c>
      <c r="C19" s="114"/>
    </row>
    <row r="20" spans="2:3" x14ac:dyDescent="0.25">
      <c r="B20" s="112">
        <v>10</v>
      </c>
      <c r="C20" s="114"/>
    </row>
    <row r="21" spans="2:3" x14ac:dyDescent="0.25">
      <c r="B21" s="112">
        <v>11</v>
      </c>
      <c r="C21" s="114"/>
    </row>
    <row r="22" spans="2:3" x14ac:dyDescent="0.25">
      <c r="B22" s="112">
        <v>12</v>
      </c>
      <c r="C22" s="114"/>
    </row>
    <row r="23" spans="2:3" x14ac:dyDescent="0.25">
      <c r="B23" s="112">
        <v>13</v>
      </c>
      <c r="C23" s="114"/>
    </row>
    <row r="24" spans="2:3" x14ac:dyDescent="0.25">
      <c r="B24" s="112">
        <v>14</v>
      </c>
      <c r="C24" s="114"/>
    </row>
    <row r="25" spans="2:3" x14ac:dyDescent="0.25">
      <c r="B25" s="112">
        <v>15</v>
      </c>
      <c r="C25" s="114"/>
    </row>
    <row r="26" spans="2:3" x14ac:dyDescent="0.25">
      <c r="B26" s="112">
        <v>16</v>
      </c>
      <c r="C26" s="114"/>
    </row>
    <row r="27" spans="2:3" x14ac:dyDescent="0.25">
      <c r="B27" s="112">
        <v>17</v>
      </c>
      <c r="C27" s="114"/>
    </row>
    <row r="28" spans="2:3" x14ac:dyDescent="0.25">
      <c r="B28" s="112">
        <v>18</v>
      </c>
      <c r="C28" s="114"/>
    </row>
    <row r="29" spans="2:3" x14ac:dyDescent="0.25">
      <c r="B29" s="112">
        <v>19</v>
      </c>
      <c r="C29" s="114"/>
    </row>
    <row r="30" spans="2:3" ht="15.75" thickBot="1" x14ac:dyDescent="0.3">
      <c r="B30" s="113">
        <v>20</v>
      </c>
      <c r="C30" s="115"/>
    </row>
  </sheetData>
  <sheetProtection algorithmName="SHA-512" hashValue="jFvHh47L1dBQRCp1XPTrcGphCZjm7UQJSvEAPaP8yUDp6q9Un8NLB9AAItuEDt+su5FllwzAWcBBVUyiMTECjA==" saltValue="FOWxlk2+OWm7rFjANhazM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workbookViewId="0">
      <selection activeCell="A12" sqref="A12"/>
    </sheetView>
  </sheetViews>
  <sheetFormatPr defaultRowHeight="15" x14ac:dyDescent="0.25"/>
  <cols>
    <col min="2" max="2" width="17.375" customWidth="1"/>
    <col min="6" max="6" width="19.25" customWidth="1"/>
    <col min="9" max="9" width="12.1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26</v>
      </c>
    </row>
    <row r="2" spans="1:4" x14ac:dyDescent="0.25">
      <c r="A2">
        <v>1</v>
      </c>
      <c r="B2" t="s">
        <v>145</v>
      </c>
      <c r="C2" t="s">
        <v>25</v>
      </c>
      <c r="D2">
        <v>1</v>
      </c>
    </row>
    <row r="3" spans="1:4" x14ac:dyDescent="0.25">
      <c r="A3">
        <v>2</v>
      </c>
      <c r="B3" t="s">
        <v>156</v>
      </c>
      <c r="D3">
        <v>2</v>
      </c>
    </row>
    <row r="4" spans="1:4" x14ac:dyDescent="0.25">
      <c r="A4">
        <v>3</v>
      </c>
      <c r="B4" t="s">
        <v>154</v>
      </c>
      <c r="D4">
        <v>3</v>
      </c>
    </row>
    <row r="5" spans="1:4" x14ac:dyDescent="0.25">
      <c r="A5">
        <v>4</v>
      </c>
      <c r="B5" t="s">
        <v>153</v>
      </c>
    </row>
    <row r="6" spans="1:4" x14ac:dyDescent="0.25">
      <c r="A6">
        <v>5</v>
      </c>
      <c r="B6" t="s">
        <v>161</v>
      </c>
    </row>
    <row r="7" spans="1:4" x14ac:dyDescent="0.25">
      <c r="A7">
        <v>6</v>
      </c>
      <c r="B7" t="s">
        <v>158</v>
      </c>
    </row>
    <row r="8" spans="1:4" x14ac:dyDescent="0.25">
      <c r="A8">
        <v>7</v>
      </c>
      <c r="B8" t="s">
        <v>148</v>
      </c>
    </row>
    <row r="9" spans="1:4" x14ac:dyDescent="0.25">
      <c r="A9">
        <v>8</v>
      </c>
      <c r="B9" t="s">
        <v>144</v>
      </c>
    </row>
    <row r="10" spans="1:4" x14ac:dyDescent="0.25">
      <c r="A10">
        <v>9</v>
      </c>
      <c r="B10" t="s">
        <v>152</v>
      </c>
    </row>
    <row r="11" spans="1:4" x14ac:dyDescent="0.25">
      <c r="A11">
        <v>10</v>
      </c>
      <c r="B11" t="s">
        <v>149</v>
      </c>
    </row>
    <row r="12" spans="1:4" x14ac:dyDescent="0.25">
      <c r="A12">
        <v>11</v>
      </c>
      <c r="B1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3"/>
  <sheetViews>
    <sheetView showGridLines="0" workbookViewId="0"/>
  </sheetViews>
  <sheetFormatPr defaultRowHeight="15" x14ac:dyDescent="0.25"/>
  <cols>
    <col min="1" max="1" width="7.375" customWidth="1"/>
    <col min="2" max="2" width="21.375" customWidth="1"/>
    <col min="3" max="3" width="5.125" customWidth="1"/>
    <col min="4" max="4" width="5.75" customWidth="1"/>
    <col min="5" max="7" width="6.125" customWidth="1"/>
    <col min="8" max="8" width="4.125" customWidth="1"/>
    <col min="9" max="9" width="6.125" customWidth="1"/>
    <col min="10" max="15" width="7.25" customWidth="1"/>
    <col min="16" max="20" width="6.25" customWidth="1"/>
  </cols>
  <sheetData>
    <row r="1" spans="1:20" x14ac:dyDescent="0.25">
      <c r="A1" s="78" t="s">
        <v>96</v>
      </c>
      <c r="B1" s="79" t="s">
        <v>97</v>
      </c>
      <c r="C1" s="79" t="s">
        <v>98</v>
      </c>
      <c r="D1" s="79" t="s">
        <v>99</v>
      </c>
      <c r="E1" s="79" t="s">
        <v>100</v>
      </c>
      <c r="F1" s="79" t="s">
        <v>101</v>
      </c>
      <c r="G1" s="79" t="s">
        <v>102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x14ac:dyDescent="0.25">
      <c r="A2" s="88"/>
      <c r="B2" s="89"/>
      <c r="C2" s="82">
        <f>Scoresheet!I9</f>
        <v>0</v>
      </c>
      <c r="D2" s="82">
        <f>Scoresheet!I11</f>
        <v>0</v>
      </c>
      <c r="E2" s="83">
        <f>Scoresheet!J9</f>
        <v>0</v>
      </c>
      <c r="F2" s="83">
        <f>Scoresheet!J11</f>
        <v>0</v>
      </c>
      <c r="G2" s="82">
        <f>Scoresheet!I26</f>
        <v>0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x14ac:dyDescent="0.25">
      <c r="A3" s="81" t="s">
        <v>40</v>
      </c>
      <c r="B3" s="82" t="s">
        <v>83</v>
      </c>
      <c r="C3" s="82" t="s">
        <v>7</v>
      </c>
      <c r="D3" s="82" t="s">
        <v>8</v>
      </c>
      <c r="E3" s="83" t="s">
        <v>27</v>
      </c>
      <c r="F3" s="83" t="s">
        <v>28</v>
      </c>
      <c r="G3" s="82" t="s">
        <v>29</v>
      </c>
      <c r="H3" s="82" t="s">
        <v>9</v>
      </c>
      <c r="I3" s="82" t="s">
        <v>66</v>
      </c>
      <c r="J3" s="82" t="s">
        <v>84</v>
      </c>
      <c r="K3" s="82" t="s">
        <v>85</v>
      </c>
      <c r="L3" s="82" t="s">
        <v>86</v>
      </c>
      <c r="M3" s="82" t="s">
        <v>87</v>
      </c>
      <c r="N3" s="82" t="s">
        <v>88</v>
      </c>
      <c r="O3" s="82" t="s">
        <v>89</v>
      </c>
      <c r="P3" s="82" t="s">
        <v>90</v>
      </c>
      <c r="Q3" s="82" t="s">
        <v>91</v>
      </c>
      <c r="R3" s="82" t="s">
        <v>92</v>
      </c>
      <c r="S3" s="82" t="s">
        <v>93</v>
      </c>
      <c r="T3" s="84" t="s">
        <v>94</v>
      </c>
    </row>
    <row r="4" spans="1:20" x14ac:dyDescent="0.25">
      <c r="A4" s="81">
        <v>1</v>
      </c>
      <c r="B4" s="82" t="str">
        <f>IF(ISBLANK(Scoresheet!C16),"",Scoresheet!C16)</f>
        <v xml:space="preserve"> </v>
      </c>
      <c r="C4" s="82" t="str">
        <f>Scoresheet!D16</f>
        <v/>
      </c>
      <c r="D4" s="90" t="str">
        <f>Scoresheet!E16</f>
        <v/>
      </c>
      <c r="E4" s="82">
        <f>Scoresheet!F16</f>
        <v>0</v>
      </c>
      <c r="F4" s="82">
        <f>Scoresheet!G16</f>
        <v>0</v>
      </c>
      <c r="G4" s="82">
        <f>Scoresheet!H16</f>
        <v>0</v>
      </c>
      <c r="H4" s="82">
        <f>Scoresheet!I16</f>
        <v>0</v>
      </c>
      <c r="I4" s="82">
        <f>Scoresheet!AG16</f>
        <v>1</v>
      </c>
      <c r="J4" s="82">
        <f>Scoresheet!AH16</f>
        <v>0</v>
      </c>
      <c r="K4" s="82">
        <f ca="1">Scoresheet!AI16</f>
        <v>0</v>
      </c>
      <c r="L4" s="82">
        <f ca="1">Scoresheet!AJ16</f>
        <v>0</v>
      </c>
      <c r="M4" s="82">
        <f ca="1">Scoresheet!AK16</f>
        <v>0</v>
      </c>
      <c r="N4" s="82">
        <f ca="1">Scoresheet!AL16</f>
        <v>0</v>
      </c>
      <c r="O4" s="82">
        <f ca="1">Scoresheet!AM16</f>
        <v>0</v>
      </c>
      <c r="P4" s="82">
        <f ca="1">Scoresheet!AP16</f>
        <v>0</v>
      </c>
      <c r="Q4" s="82">
        <f ca="1">Scoresheet!AQ16</f>
        <v>0</v>
      </c>
      <c r="R4" s="82">
        <f ca="1">Scoresheet!AR16</f>
        <v>0</v>
      </c>
      <c r="S4" s="82">
        <f ca="1">Scoresheet!AS16</f>
        <v>0</v>
      </c>
      <c r="T4" s="84">
        <f ca="1">Scoresheet!AT16</f>
        <v>0</v>
      </c>
    </row>
    <row r="5" spans="1:20" x14ac:dyDescent="0.25">
      <c r="A5" s="81">
        <v>2</v>
      </c>
      <c r="B5" s="82" t="str">
        <f>IF(ISBLANK(Scoresheet!C17),"",Scoresheet!C17)</f>
        <v xml:space="preserve"> </v>
      </c>
      <c r="C5" s="82" t="str">
        <f>Scoresheet!D17</f>
        <v/>
      </c>
      <c r="D5" s="90" t="str">
        <f>Scoresheet!E17</f>
        <v/>
      </c>
      <c r="E5" s="82">
        <f>Scoresheet!F17</f>
        <v>0</v>
      </c>
      <c r="F5" s="82">
        <f>Scoresheet!G17</f>
        <v>0</v>
      </c>
      <c r="G5" s="82">
        <f>Scoresheet!H17</f>
        <v>0</v>
      </c>
      <c r="H5" s="82">
        <f>Scoresheet!I17</f>
        <v>0</v>
      </c>
      <c r="I5" s="82">
        <f>Scoresheet!AG17</f>
        <v>1</v>
      </c>
      <c r="J5" s="82">
        <f>Scoresheet!AH17</f>
        <v>0</v>
      </c>
      <c r="K5" s="82">
        <f ca="1">Scoresheet!AI17</f>
        <v>0</v>
      </c>
      <c r="L5" s="82">
        <f ca="1">Scoresheet!AJ17</f>
        <v>0</v>
      </c>
      <c r="M5" s="82">
        <f ca="1">Scoresheet!AK17</f>
        <v>0</v>
      </c>
      <c r="N5" s="82">
        <f ca="1">Scoresheet!AL17</f>
        <v>0</v>
      </c>
      <c r="O5" s="82">
        <f ca="1">Scoresheet!AM17</f>
        <v>0</v>
      </c>
      <c r="P5" s="82">
        <f ca="1">Scoresheet!AP17</f>
        <v>0</v>
      </c>
      <c r="Q5" s="82">
        <f ca="1">Scoresheet!AQ17</f>
        <v>0</v>
      </c>
      <c r="R5" s="82">
        <f ca="1">Scoresheet!AR17</f>
        <v>0</v>
      </c>
      <c r="S5" s="82">
        <f ca="1">Scoresheet!AS17</f>
        <v>0</v>
      </c>
      <c r="T5" s="84">
        <f ca="1">Scoresheet!AT17</f>
        <v>0</v>
      </c>
    </row>
    <row r="6" spans="1:20" x14ac:dyDescent="0.25">
      <c r="A6" s="81">
        <v>3</v>
      </c>
      <c r="B6" s="82" t="str">
        <f>IF(ISBLANK(Scoresheet!C18),"",Scoresheet!C18)</f>
        <v xml:space="preserve"> </v>
      </c>
      <c r="C6" s="82" t="str">
        <f>Scoresheet!D18</f>
        <v/>
      </c>
      <c r="D6" s="90" t="str">
        <f>Scoresheet!E18</f>
        <v/>
      </c>
      <c r="E6" s="82">
        <f>Scoresheet!F18</f>
        <v>0</v>
      </c>
      <c r="F6" s="82">
        <f>Scoresheet!G18</f>
        <v>0</v>
      </c>
      <c r="G6" s="82">
        <f>Scoresheet!H18</f>
        <v>0</v>
      </c>
      <c r="H6" s="82">
        <f>Scoresheet!I18</f>
        <v>0</v>
      </c>
      <c r="I6" s="82">
        <f>Scoresheet!AG18</f>
        <v>1</v>
      </c>
      <c r="J6" s="82">
        <f>Scoresheet!AH18</f>
        <v>0</v>
      </c>
      <c r="K6" s="82">
        <f ca="1">Scoresheet!AI18</f>
        <v>0</v>
      </c>
      <c r="L6" s="82">
        <f ca="1">Scoresheet!AJ18</f>
        <v>0</v>
      </c>
      <c r="M6" s="82">
        <f ca="1">Scoresheet!AK18</f>
        <v>0</v>
      </c>
      <c r="N6" s="82">
        <f ca="1">Scoresheet!AL18</f>
        <v>0</v>
      </c>
      <c r="O6" s="82">
        <f ca="1">Scoresheet!AM18</f>
        <v>0</v>
      </c>
      <c r="P6" s="82">
        <f ca="1">Scoresheet!AP18</f>
        <v>0</v>
      </c>
      <c r="Q6" s="82">
        <f ca="1">Scoresheet!AQ18</f>
        <v>0</v>
      </c>
      <c r="R6" s="82">
        <f ca="1">Scoresheet!AR18</f>
        <v>0</v>
      </c>
      <c r="S6" s="82">
        <f ca="1">Scoresheet!AS18</f>
        <v>0</v>
      </c>
      <c r="T6" s="84">
        <f ca="1">Scoresheet!AT18</f>
        <v>0</v>
      </c>
    </row>
    <row r="7" spans="1:20" x14ac:dyDescent="0.25">
      <c r="A7" s="81">
        <v>4</v>
      </c>
      <c r="B7" s="82" t="str">
        <f>IF(ISBLANK(Scoresheet!C19),"",Scoresheet!C19)</f>
        <v xml:space="preserve"> </v>
      </c>
      <c r="C7" s="82" t="str">
        <f>Scoresheet!D19</f>
        <v/>
      </c>
      <c r="D7" s="90" t="str">
        <f>Scoresheet!E19</f>
        <v/>
      </c>
      <c r="E7" s="82">
        <f>Scoresheet!F19</f>
        <v>0</v>
      </c>
      <c r="F7" s="82">
        <f>Scoresheet!G19</f>
        <v>0</v>
      </c>
      <c r="G7" s="82">
        <f>Scoresheet!H19</f>
        <v>0</v>
      </c>
      <c r="H7" s="82">
        <f>Scoresheet!I19</f>
        <v>0</v>
      </c>
      <c r="I7" s="82">
        <f>Scoresheet!AG19</f>
        <v>1</v>
      </c>
      <c r="J7" s="82">
        <f>Scoresheet!AH19</f>
        <v>0</v>
      </c>
      <c r="K7" s="82">
        <f ca="1">Scoresheet!AI19</f>
        <v>0</v>
      </c>
      <c r="L7" s="82">
        <f ca="1">Scoresheet!AJ19</f>
        <v>0</v>
      </c>
      <c r="M7" s="82">
        <f ca="1">Scoresheet!AK19</f>
        <v>0</v>
      </c>
      <c r="N7" s="82">
        <f ca="1">Scoresheet!AL19</f>
        <v>0</v>
      </c>
      <c r="O7" s="82">
        <f ca="1">Scoresheet!AM19</f>
        <v>0</v>
      </c>
      <c r="P7" s="82">
        <f ca="1">Scoresheet!AP19</f>
        <v>0</v>
      </c>
      <c r="Q7" s="82">
        <f ca="1">Scoresheet!AQ19</f>
        <v>0</v>
      </c>
      <c r="R7" s="82">
        <f ca="1">Scoresheet!AR19</f>
        <v>0</v>
      </c>
      <c r="S7" s="82">
        <f ca="1">Scoresheet!AS19</f>
        <v>0</v>
      </c>
      <c r="T7" s="84">
        <f ca="1">Scoresheet!AT19</f>
        <v>0</v>
      </c>
    </row>
    <row r="8" spans="1:20" x14ac:dyDescent="0.25">
      <c r="A8" s="81">
        <v>5</v>
      </c>
      <c r="B8" s="82" t="str">
        <f>IF(ISBLANK(Scoresheet!C20),"",Scoresheet!C20)</f>
        <v/>
      </c>
      <c r="C8" s="82" t="str">
        <f>Scoresheet!D20</f>
        <v/>
      </c>
      <c r="D8" s="90" t="str">
        <f>Scoresheet!E20</f>
        <v/>
      </c>
      <c r="E8" s="82">
        <f>Scoresheet!F20</f>
        <v>0</v>
      </c>
      <c r="F8" s="82">
        <f>Scoresheet!G20</f>
        <v>0</v>
      </c>
      <c r="G8" s="82">
        <f>Scoresheet!H20</f>
        <v>0</v>
      </c>
      <c r="H8" s="82">
        <f>Scoresheet!I20</f>
        <v>0</v>
      </c>
      <c r="I8" s="82">
        <f>Scoresheet!AG20</f>
        <v>0</v>
      </c>
      <c r="J8" s="82">
        <f>Scoresheet!AH20</f>
        <v>0</v>
      </c>
      <c r="K8" s="82">
        <f ca="1">Scoresheet!AI20</f>
        <v>0</v>
      </c>
      <c r="L8" s="82">
        <f ca="1">Scoresheet!AJ20</f>
        <v>0</v>
      </c>
      <c r="M8" s="82">
        <f ca="1">Scoresheet!AK20</f>
        <v>0</v>
      </c>
      <c r="N8" s="82">
        <f ca="1">Scoresheet!AL20</f>
        <v>0</v>
      </c>
      <c r="O8" s="82">
        <f ca="1">Scoresheet!AM20</f>
        <v>0</v>
      </c>
      <c r="P8" s="82">
        <f ca="1">Scoresheet!AP20</f>
        <v>0</v>
      </c>
      <c r="Q8" s="82">
        <f ca="1">Scoresheet!AQ20</f>
        <v>0</v>
      </c>
      <c r="R8" s="82">
        <f ca="1">Scoresheet!AR20</f>
        <v>0</v>
      </c>
      <c r="S8" s="82">
        <f ca="1">Scoresheet!AS20</f>
        <v>0</v>
      </c>
      <c r="T8" s="84">
        <f ca="1">Scoresheet!AT20</f>
        <v>0</v>
      </c>
    </row>
    <row r="9" spans="1:20" x14ac:dyDescent="0.25">
      <c r="A9" s="81">
        <v>6</v>
      </c>
      <c r="B9" s="82" t="str">
        <f>IF(ISBLANK(Scoresheet!C21),"",Scoresheet!C21)</f>
        <v xml:space="preserve"> </v>
      </c>
      <c r="C9" s="82" t="str">
        <f>Scoresheet!D21</f>
        <v/>
      </c>
      <c r="D9" s="90" t="str">
        <f>Scoresheet!E21</f>
        <v/>
      </c>
      <c r="E9" s="82">
        <f>Scoresheet!F21</f>
        <v>0</v>
      </c>
      <c r="F9" s="82">
        <f>Scoresheet!G21</f>
        <v>0</v>
      </c>
      <c r="G9" s="82">
        <f>Scoresheet!H21</f>
        <v>0</v>
      </c>
      <c r="H9" s="82">
        <f>Scoresheet!I21</f>
        <v>0</v>
      </c>
      <c r="I9" s="82">
        <f>Scoresheet!AG21</f>
        <v>1</v>
      </c>
      <c r="J9" s="82">
        <f>Scoresheet!AH21</f>
        <v>0</v>
      </c>
      <c r="K9" s="82">
        <f ca="1">Scoresheet!AI21</f>
        <v>0</v>
      </c>
      <c r="L9" s="82">
        <f ca="1">Scoresheet!AJ21</f>
        <v>0</v>
      </c>
      <c r="M9" s="82">
        <f ca="1">Scoresheet!AK21</f>
        <v>0</v>
      </c>
      <c r="N9" s="82">
        <f ca="1">Scoresheet!AL21</f>
        <v>0</v>
      </c>
      <c r="O9" s="82">
        <f ca="1">Scoresheet!AM21</f>
        <v>0</v>
      </c>
      <c r="P9" s="82">
        <f ca="1">Scoresheet!AP21</f>
        <v>0</v>
      </c>
      <c r="Q9" s="82">
        <f ca="1">Scoresheet!AQ21</f>
        <v>0</v>
      </c>
      <c r="R9" s="82">
        <f ca="1">Scoresheet!AR21</f>
        <v>0</v>
      </c>
      <c r="S9" s="82">
        <f ca="1">Scoresheet!AS21</f>
        <v>0</v>
      </c>
      <c r="T9" s="84">
        <f ca="1">Scoresheet!AT21</f>
        <v>0</v>
      </c>
    </row>
    <row r="10" spans="1:20" x14ac:dyDescent="0.25">
      <c r="A10" s="81">
        <v>7</v>
      </c>
      <c r="B10" s="82" t="str">
        <f>IF(ISBLANK(Scoresheet!C22),"",Scoresheet!C22)</f>
        <v xml:space="preserve"> </v>
      </c>
      <c r="C10" s="82" t="str">
        <f>Scoresheet!D22</f>
        <v/>
      </c>
      <c r="D10" s="90" t="str">
        <f>Scoresheet!E22</f>
        <v/>
      </c>
      <c r="E10" s="82">
        <f>Scoresheet!F22</f>
        <v>0</v>
      </c>
      <c r="F10" s="82">
        <f>Scoresheet!G22</f>
        <v>0</v>
      </c>
      <c r="G10" s="82">
        <f>Scoresheet!H22</f>
        <v>0</v>
      </c>
      <c r="H10" s="82">
        <f>Scoresheet!I22</f>
        <v>0</v>
      </c>
      <c r="I10" s="82">
        <f>Scoresheet!AG22</f>
        <v>1</v>
      </c>
      <c r="J10" s="82">
        <f>Scoresheet!AH22</f>
        <v>0</v>
      </c>
      <c r="K10" s="82">
        <f ca="1">Scoresheet!AI22</f>
        <v>0</v>
      </c>
      <c r="L10" s="82">
        <f ca="1">Scoresheet!AJ22</f>
        <v>0</v>
      </c>
      <c r="M10" s="82">
        <f ca="1">Scoresheet!AK22</f>
        <v>0</v>
      </c>
      <c r="N10" s="82">
        <f ca="1">Scoresheet!AL22</f>
        <v>0</v>
      </c>
      <c r="O10" s="82">
        <f ca="1">Scoresheet!AM22</f>
        <v>0</v>
      </c>
      <c r="P10" s="82">
        <f ca="1">Scoresheet!AP22</f>
        <v>0</v>
      </c>
      <c r="Q10" s="82">
        <f ca="1">Scoresheet!AQ22</f>
        <v>0</v>
      </c>
      <c r="R10" s="82">
        <f ca="1">Scoresheet!AR22</f>
        <v>0</v>
      </c>
      <c r="S10" s="82">
        <f ca="1">Scoresheet!AS22</f>
        <v>0</v>
      </c>
      <c r="T10" s="84">
        <f ca="1">Scoresheet!AT22</f>
        <v>0</v>
      </c>
    </row>
    <row r="11" spans="1:20" x14ac:dyDescent="0.25">
      <c r="A11" s="81">
        <v>8</v>
      </c>
      <c r="B11" s="82" t="str">
        <f>IF(ISBLANK(Scoresheet!C23),"",Scoresheet!C23)</f>
        <v xml:space="preserve"> </v>
      </c>
      <c r="C11" s="82" t="str">
        <f>Scoresheet!D23</f>
        <v/>
      </c>
      <c r="D11" s="90" t="str">
        <f>Scoresheet!E23</f>
        <v/>
      </c>
      <c r="E11" s="82">
        <f>Scoresheet!F23</f>
        <v>0</v>
      </c>
      <c r="F11" s="82">
        <f>Scoresheet!G23</f>
        <v>0</v>
      </c>
      <c r="G11" s="82">
        <f>Scoresheet!H23</f>
        <v>0</v>
      </c>
      <c r="H11" s="82">
        <f>Scoresheet!I23</f>
        <v>0</v>
      </c>
      <c r="I11" s="82">
        <f>Scoresheet!AG23</f>
        <v>1</v>
      </c>
      <c r="J11" s="82">
        <f>Scoresheet!AH23</f>
        <v>0</v>
      </c>
      <c r="K11" s="82">
        <f ca="1">Scoresheet!AI23</f>
        <v>0</v>
      </c>
      <c r="L11" s="82">
        <f ca="1">Scoresheet!AJ23</f>
        <v>0</v>
      </c>
      <c r="M11" s="82">
        <f ca="1">Scoresheet!AK23</f>
        <v>0</v>
      </c>
      <c r="N11" s="82">
        <f ca="1">Scoresheet!AL23</f>
        <v>0</v>
      </c>
      <c r="O11" s="82">
        <f ca="1">Scoresheet!AM23</f>
        <v>0</v>
      </c>
      <c r="P11" s="82">
        <f ca="1">Scoresheet!AP23</f>
        <v>0</v>
      </c>
      <c r="Q11" s="82">
        <f ca="1">Scoresheet!AQ23</f>
        <v>0</v>
      </c>
      <c r="R11" s="82">
        <f ca="1">Scoresheet!AR23</f>
        <v>0</v>
      </c>
      <c r="S11" s="82">
        <f ca="1">Scoresheet!AS23</f>
        <v>0</v>
      </c>
      <c r="T11" s="84">
        <f ca="1">Scoresheet!AT23</f>
        <v>0</v>
      </c>
    </row>
    <row r="12" spans="1:20" x14ac:dyDescent="0.25">
      <c r="A12" s="81">
        <v>9</v>
      </c>
      <c r="B12" s="82" t="str">
        <f>IF(ISBLANK(Scoresheet!C24),"",Scoresheet!C24)</f>
        <v xml:space="preserve"> </v>
      </c>
      <c r="C12" s="82"/>
      <c r="D12" s="90"/>
      <c r="E12" s="82">
        <f>Scoresheet!F24</f>
        <v>0</v>
      </c>
      <c r="F12" s="82">
        <f>Scoresheet!G24</f>
        <v>0</v>
      </c>
      <c r="G12" s="82">
        <f>Scoresheet!H24</f>
        <v>0</v>
      </c>
      <c r="H12" s="82">
        <f>Scoresheet!I24</f>
        <v>0</v>
      </c>
      <c r="I12" s="82">
        <f>Scoresheet!AG24</f>
        <v>1</v>
      </c>
      <c r="J12" s="82">
        <f>Scoresheet!AH24</f>
        <v>0</v>
      </c>
      <c r="K12" s="82">
        <f>Scoresheet!AI24</f>
        <v>0</v>
      </c>
      <c r="L12" s="82">
        <f>Scoresheet!AJ24</f>
        <v>0</v>
      </c>
      <c r="M12" s="82">
        <f>Scoresheet!AK24</f>
        <v>0</v>
      </c>
      <c r="N12" s="82">
        <f>Scoresheet!AL24</f>
        <v>0</v>
      </c>
      <c r="O12" s="82">
        <f>Scoresheet!AM24</f>
        <v>0</v>
      </c>
      <c r="P12" s="82">
        <f>Scoresheet!AP24</f>
        <v>0</v>
      </c>
      <c r="Q12" s="82">
        <f>Scoresheet!AQ24</f>
        <v>0</v>
      </c>
      <c r="R12" s="82">
        <f>Scoresheet!AR24</f>
        <v>0</v>
      </c>
      <c r="S12" s="82">
        <f>Scoresheet!AS24</f>
        <v>0</v>
      </c>
      <c r="T12" s="84">
        <f>Scoresheet!AT24</f>
        <v>0</v>
      </c>
    </row>
    <row r="13" spans="1:20" ht="15.75" thickBot="1" x14ac:dyDescent="0.3">
      <c r="A13" s="85">
        <v>10</v>
      </c>
      <c r="B13" s="86" t="str">
        <f>IF(ISBLANK(Scoresheet!C25),"",Scoresheet!C25)</f>
        <v xml:space="preserve"> </v>
      </c>
      <c r="C13" s="86"/>
      <c r="D13" s="91"/>
      <c r="E13" s="86">
        <f>Scoresheet!F25</f>
        <v>0</v>
      </c>
      <c r="F13" s="86">
        <f>Scoresheet!G25</f>
        <v>0</v>
      </c>
      <c r="G13" s="86">
        <f>Scoresheet!H25</f>
        <v>0</v>
      </c>
      <c r="H13" s="86">
        <f>Scoresheet!I25</f>
        <v>0</v>
      </c>
      <c r="I13" s="86">
        <f>Scoresheet!AG25</f>
        <v>1</v>
      </c>
      <c r="J13" s="86">
        <f>Scoresheet!AH25</f>
        <v>0</v>
      </c>
      <c r="K13" s="86">
        <f>Scoresheet!AI25</f>
        <v>0</v>
      </c>
      <c r="L13" s="86">
        <f>Scoresheet!AJ25</f>
        <v>0</v>
      </c>
      <c r="M13" s="86">
        <f>Scoresheet!AK25</f>
        <v>0</v>
      </c>
      <c r="N13" s="86">
        <f>Scoresheet!AL25</f>
        <v>0</v>
      </c>
      <c r="O13" s="86">
        <f>Scoresheet!AM25</f>
        <v>0</v>
      </c>
      <c r="P13" s="86">
        <f>Scoresheet!AP25</f>
        <v>0</v>
      </c>
      <c r="Q13" s="86">
        <f>Scoresheet!AQ25</f>
        <v>0</v>
      </c>
      <c r="R13" s="86">
        <f>Scoresheet!AR25</f>
        <v>0</v>
      </c>
      <c r="S13" s="86">
        <f>Scoresheet!AS25</f>
        <v>0</v>
      </c>
      <c r="T13" s="87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2016-08-21T16:31:32Z</dcterms:modified>
</cp:coreProperties>
</file>